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firstSheet="2" activeTab="2"/>
  </bookViews>
  <sheets>
    <sheet name="ВЛ " sheetId="5" state="hidden" r:id="rId1"/>
    <sheet name="КЛ" sheetId="2" state="hidden" r:id="rId2"/>
    <sheet name="ПС" sheetId="4" r:id="rId3"/>
  </sheets>
  <definedNames>
    <definedName name="_xlnm.Print_Area" localSheetId="0">'ВЛ '!$A$1:$L$13</definedName>
    <definedName name="_xlnm.Print_Area" localSheetId="2">ПС!$A$1:$BB$159</definedName>
  </definedNames>
  <calcPr calcId="162913"/>
</workbook>
</file>

<file path=xl/calcChain.xml><?xml version="1.0" encoding="utf-8"?>
<calcChain xmlns="http://schemas.openxmlformats.org/spreadsheetml/2006/main">
  <c r="I105" i="4" l="1"/>
  <c r="L105" i="4" s="1"/>
  <c r="AM58" i="4" l="1"/>
  <c r="AD116" i="4"/>
  <c r="AR116" i="4" s="1"/>
  <c r="AF116" i="4" s="1"/>
  <c r="AD73" i="4"/>
  <c r="AE116" i="4" l="1"/>
  <c r="AH73" i="4" l="1"/>
  <c r="AH68" i="4"/>
  <c r="AG68" i="4"/>
  <c r="AH67" i="4"/>
  <c r="AG67" i="4"/>
  <c r="AH66" i="4"/>
  <c r="AG66" i="4"/>
  <c r="AH58" i="4"/>
  <c r="AG45" i="4"/>
  <c r="AH44" i="4"/>
  <c r="AG44" i="4"/>
  <c r="AH42" i="4"/>
  <c r="AG42" i="4"/>
  <c r="AH38" i="4"/>
  <c r="AG38" i="4"/>
  <c r="AH27" i="4"/>
  <c r="AG27" i="4"/>
  <c r="AH21" i="4"/>
  <c r="AG21" i="4"/>
  <c r="AH15" i="4"/>
  <c r="AG15" i="4"/>
  <c r="AH9" i="4"/>
  <c r="AG9" i="4"/>
  <c r="AE73" i="4" l="1"/>
  <c r="AN73" i="4"/>
  <c r="AF73" i="4" s="1"/>
  <c r="M73" i="4" l="1"/>
  <c r="N73" i="4" s="1"/>
  <c r="Q45" i="4" l="1"/>
  <c r="R159" i="4" l="1"/>
  <c r="S159" i="4"/>
  <c r="T159" i="4"/>
  <c r="U159" i="4"/>
  <c r="V159" i="4"/>
  <c r="W159" i="4"/>
  <c r="X159" i="4"/>
  <c r="AG159" i="4"/>
  <c r="AH159" i="4"/>
  <c r="AI159" i="4"/>
  <c r="AJ159" i="4"/>
  <c r="AK159" i="4"/>
  <c r="AL159" i="4"/>
  <c r="AU159" i="4"/>
  <c r="AV159" i="4"/>
  <c r="I158" i="4" l="1"/>
  <c r="L158" i="4" s="1"/>
  <c r="I157" i="4" l="1"/>
  <c r="L157" i="4" s="1"/>
  <c r="I156" i="4"/>
  <c r="L156" i="4" s="1"/>
  <c r="AD156" i="4" s="1"/>
  <c r="I155" i="4"/>
  <c r="L155" i="4" s="1"/>
  <c r="I154" i="4"/>
  <c r="L154" i="4" s="1"/>
  <c r="I153" i="4"/>
  <c r="L153" i="4" s="1"/>
  <c r="I152" i="4"/>
  <c r="L152" i="4" s="1"/>
  <c r="I151" i="4"/>
  <c r="L151" i="4" s="1"/>
  <c r="I150" i="4"/>
  <c r="L150" i="4" s="1"/>
  <c r="I149" i="4"/>
  <c r="L149" i="4" s="1"/>
  <c r="I148" i="4"/>
  <c r="L148" i="4" s="1"/>
  <c r="I147" i="4"/>
  <c r="L147" i="4" s="1"/>
  <c r="I146" i="4"/>
  <c r="L146" i="4" s="1"/>
  <c r="I145" i="4"/>
  <c r="L145" i="4" s="1"/>
  <c r="I144" i="4"/>
  <c r="L144" i="4" s="1"/>
  <c r="I143" i="4"/>
  <c r="L143" i="4" s="1"/>
  <c r="I142" i="4"/>
  <c r="L142" i="4" s="1"/>
  <c r="I141" i="4"/>
  <c r="L141" i="4" s="1"/>
  <c r="I140" i="4"/>
  <c r="L140" i="4" s="1"/>
  <c r="I139" i="4"/>
  <c r="L139" i="4" s="1"/>
  <c r="I138" i="4"/>
  <c r="L138" i="4" s="1"/>
  <c r="I131" i="4"/>
  <c r="L131" i="4" s="1"/>
  <c r="I130" i="4"/>
  <c r="L130" i="4" s="1"/>
  <c r="I129" i="4"/>
  <c r="L129" i="4" s="1"/>
  <c r="I128" i="4"/>
  <c r="L128" i="4" s="1"/>
  <c r="I127" i="4"/>
  <c r="L127" i="4" s="1"/>
  <c r="I126" i="4"/>
  <c r="L126" i="4" s="1"/>
  <c r="I137" i="4"/>
  <c r="L137" i="4" s="1"/>
  <c r="I136" i="4"/>
  <c r="L136" i="4" s="1"/>
  <c r="I135" i="4"/>
  <c r="L135" i="4" s="1"/>
  <c r="I134" i="4"/>
  <c r="L134" i="4" s="1"/>
  <c r="I133" i="4"/>
  <c r="L133" i="4" s="1"/>
  <c r="I132" i="4"/>
  <c r="L132" i="4" s="1"/>
  <c r="I87" i="4"/>
  <c r="L87" i="4" s="1"/>
  <c r="AM86" i="4" s="1"/>
  <c r="AD132" i="4" l="1"/>
  <c r="AD126" i="4"/>
  <c r="AD138" i="4"/>
  <c r="AD144" i="4"/>
  <c r="AD150" i="4"/>
  <c r="AO156" i="4"/>
  <c r="AF156" i="4" s="1"/>
  <c r="AE156" i="4"/>
  <c r="AS126" i="4"/>
  <c r="AO144" i="4" l="1"/>
  <c r="AF144" i="4" s="1"/>
  <c r="AE144" i="4"/>
  <c r="AO150" i="4"/>
  <c r="AF150" i="4" s="1"/>
  <c r="AE150" i="4"/>
  <c r="AE138" i="4"/>
  <c r="AO138" i="4"/>
  <c r="AF138" i="4" s="1"/>
  <c r="AN126" i="4"/>
  <c r="AF126" i="4" s="1"/>
  <c r="AE126" i="4"/>
  <c r="AE132" i="4"/>
  <c r="AN132" i="4"/>
  <c r="AF132" i="4" s="1"/>
  <c r="I37" i="4"/>
  <c r="L37" i="4" s="1"/>
  <c r="I36" i="4"/>
  <c r="L36" i="4" s="1"/>
  <c r="I35" i="4"/>
  <c r="L35" i="4" s="1"/>
  <c r="I34" i="4"/>
  <c r="L34" i="4" s="1"/>
  <c r="I33" i="4"/>
  <c r="L33" i="4" s="1"/>
  <c r="I32" i="4"/>
  <c r="L32" i="4" s="1"/>
  <c r="I31" i="4"/>
  <c r="L31" i="4" s="1"/>
  <c r="I30" i="4"/>
  <c r="L30" i="4" s="1"/>
  <c r="I29" i="4"/>
  <c r="L29" i="4" s="1"/>
  <c r="I28" i="4"/>
  <c r="L28" i="4" s="1"/>
  <c r="I27" i="4"/>
  <c r="L27" i="4" s="1"/>
  <c r="AD27" i="4" l="1"/>
  <c r="AN27" i="4" s="1"/>
  <c r="I64" i="4"/>
  <c r="L64" i="4" s="1"/>
  <c r="AO58" i="4" l="1"/>
  <c r="AE58" i="4" s="1"/>
  <c r="AN58" i="4"/>
  <c r="M58" i="4"/>
  <c r="I125" i="4"/>
  <c r="L125" i="4" s="1"/>
  <c r="I124" i="4"/>
  <c r="L124" i="4" s="1"/>
  <c r="I123" i="4"/>
  <c r="L123" i="4" s="1"/>
  <c r="I122" i="4"/>
  <c r="L122" i="4" s="1"/>
  <c r="I121" i="4"/>
  <c r="L121" i="4" s="1"/>
  <c r="M121" i="4" l="1"/>
  <c r="N121" i="4" s="1"/>
  <c r="AD121" i="4"/>
  <c r="L120" i="4"/>
  <c r="I120" i="4"/>
  <c r="I119" i="4"/>
  <c r="L119" i="4" s="1"/>
  <c r="I118" i="4"/>
  <c r="L118" i="4" s="1"/>
  <c r="I117" i="4"/>
  <c r="L117" i="4" s="1"/>
  <c r="I116" i="4"/>
  <c r="L116" i="4" s="1"/>
  <c r="AQ121" i="4" l="1"/>
  <c r="AF121" i="4" s="1"/>
  <c r="AE121" i="4"/>
  <c r="M116" i="4"/>
  <c r="N116" i="4" s="1"/>
  <c r="F8" i="4" l="1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AQ8" i="4" s="1"/>
  <c r="AR8" i="4" s="1"/>
  <c r="AS8" i="4" s="1"/>
  <c r="AT8" i="4" s="1"/>
  <c r="AU8" i="4" s="1"/>
  <c r="AV8" i="4" s="1"/>
  <c r="AW8" i="4" s="1"/>
  <c r="AX8" i="4" s="1"/>
  <c r="AY8" i="4" s="1"/>
  <c r="AZ8" i="4" s="1"/>
  <c r="I115" i="4" l="1"/>
  <c r="L115" i="4" s="1"/>
  <c r="I114" i="4"/>
  <c r="L114" i="4" s="1"/>
  <c r="M114" i="4" s="1"/>
  <c r="N114" i="4" s="1"/>
  <c r="I113" i="4"/>
  <c r="L113" i="4" s="1"/>
  <c r="I112" i="4"/>
  <c r="L112" i="4" s="1"/>
  <c r="M112" i="4" s="1"/>
  <c r="I111" i="4"/>
  <c r="L111" i="4" s="1"/>
  <c r="M111" i="4" s="1"/>
  <c r="N112" i="4" l="1"/>
  <c r="N111" i="4"/>
  <c r="O111" i="4" s="1"/>
  <c r="O114" i="4"/>
  <c r="AD114" i="4" l="1"/>
  <c r="P114" i="4"/>
  <c r="AC114" i="4" s="1"/>
  <c r="AD111" i="4"/>
  <c r="AC111" i="4"/>
  <c r="P111" i="4"/>
  <c r="AD112" i="4"/>
  <c r="O112" i="4"/>
  <c r="P112" i="4" s="1"/>
  <c r="AC112" i="4" s="1"/>
  <c r="AR111" i="4" l="1"/>
  <c r="AF111" i="4" s="1"/>
  <c r="AE111" i="4"/>
  <c r="AR112" i="4"/>
  <c r="AF112" i="4" s="1"/>
  <c r="AE112" i="4"/>
  <c r="AR114" i="4"/>
  <c r="AF114" i="4" s="1"/>
  <c r="AE114" i="4"/>
  <c r="I110" i="4"/>
  <c r="L110" i="4" s="1"/>
  <c r="I109" i="4"/>
  <c r="L109" i="4" s="1"/>
  <c r="I108" i="4"/>
  <c r="L108" i="4" s="1"/>
  <c r="I107" i="4"/>
  <c r="L107" i="4" s="1"/>
  <c r="I106" i="4"/>
  <c r="L106" i="4" s="1"/>
  <c r="I104" i="4"/>
  <c r="L104" i="4" s="1"/>
  <c r="I103" i="4"/>
  <c r="L103" i="4" s="1"/>
  <c r="I102" i="4"/>
  <c r="L102" i="4" s="1"/>
  <c r="I101" i="4"/>
  <c r="L101" i="4" s="1"/>
  <c r="I100" i="4"/>
  <c r="L100" i="4" s="1"/>
  <c r="I99" i="4"/>
  <c r="L99" i="4" s="1"/>
  <c r="I98" i="4"/>
  <c r="L98" i="4" s="1"/>
  <c r="I97" i="4"/>
  <c r="L97" i="4" s="1"/>
  <c r="I96" i="4"/>
  <c r="L96" i="4" s="1"/>
  <c r="I95" i="4"/>
  <c r="L95" i="4" s="1"/>
  <c r="I94" i="4"/>
  <c r="L94" i="4" s="1"/>
  <c r="M94" i="4" s="1"/>
  <c r="I93" i="4"/>
  <c r="L93" i="4" s="1"/>
  <c r="M93" i="4" s="1"/>
  <c r="I92" i="4"/>
  <c r="L92" i="4" s="1"/>
  <c r="M92" i="4" s="1"/>
  <c r="I91" i="4"/>
  <c r="L91" i="4" s="1"/>
  <c r="M91" i="4" s="1"/>
  <c r="AD104" i="4" l="1"/>
  <c r="AQ104" i="4" s="1"/>
  <c r="AF104" i="4" s="1"/>
  <c r="AD110" i="4"/>
  <c r="M110" i="4"/>
  <c r="M104" i="4"/>
  <c r="N104" i="4" s="1"/>
  <c r="O104" i="4" s="1"/>
  <c r="M95" i="4"/>
  <c r="N91" i="4"/>
  <c r="O91" i="4" s="1"/>
  <c r="M98" i="4"/>
  <c r="N94" i="4"/>
  <c r="O94" i="4" s="1"/>
  <c r="P94" i="4" s="1"/>
  <c r="AB94" i="4" s="1"/>
  <c r="Q94" i="4" s="1"/>
  <c r="N92" i="4"/>
  <c r="O92" i="4" s="1"/>
  <c r="AD92" i="4" s="1"/>
  <c r="N93" i="4"/>
  <c r="O93" i="4" s="1"/>
  <c r="AB104" i="4" l="1"/>
  <c r="Q104" i="4" s="1"/>
  <c r="AE92" i="4"/>
  <c r="AQ92" i="4"/>
  <c r="AF92" i="4" s="1"/>
  <c r="AE110" i="4"/>
  <c r="AR110" i="4"/>
  <c r="P104" i="4"/>
  <c r="P92" i="4"/>
  <c r="AB92" i="4" s="1"/>
  <c r="AD93" i="4"/>
  <c r="P93" i="4"/>
  <c r="AB93" i="4" s="1"/>
  <c r="Q93" i="4" s="1"/>
  <c r="N110" i="4"/>
  <c r="O110" i="4" s="1"/>
  <c r="P110" i="4" s="1"/>
  <c r="AC110" i="4" s="1"/>
  <c r="AD91" i="4"/>
  <c r="AD94" i="4"/>
  <c r="N98" i="4"/>
  <c r="O98" i="4" s="1"/>
  <c r="N95" i="4"/>
  <c r="O95" i="4" s="1"/>
  <c r="P91" i="4"/>
  <c r="Q91" i="4" s="1"/>
  <c r="AA91" i="4" s="1"/>
  <c r="AE104" i="4" l="1"/>
  <c r="AQ93" i="4"/>
  <c r="AF93" i="4" s="1"/>
  <c r="AE93" i="4"/>
  <c r="AQ94" i="4"/>
  <c r="AF94" i="4" s="1"/>
  <c r="AE94" i="4"/>
  <c r="AF110" i="4"/>
  <c r="AR159" i="4"/>
  <c r="AP91" i="4"/>
  <c r="AE91" i="4"/>
  <c r="AD95" i="4"/>
  <c r="P98" i="4"/>
  <c r="Q98" i="4" s="1"/>
  <c r="AB98" i="4" s="1"/>
  <c r="AD98" i="4"/>
  <c r="P95" i="4"/>
  <c r="Q95" i="4" s="1"/>
  <c r="AB95" i="4" s="1"/>
  <c r="AQ98" i="4" l="1"/>
  <c r="AF98" i="4" s="1"/>
  <c r="AE98" i="4"/>
  <c r="AQ95" i="4"/>
  <c r="AF95" i="4" s="1"/>
  <c r="AE95" i="4"/>
  <c r="I90" i="4"/>
  <c r="L90" i="4" s="1"/>
  <c r="M90" i="4" s="1"/>
  <c r="I89" i="4"/>
  <c r="L89" i="4" s="1"/>
  <c r="AO88" i="4" s="1"/>
  <c r="I88" i="4"/>
  <c r="L88" i="4" s="1"/>
  <c r="I86" i="4"/>
  <c r="L86" i="4" s="1"/>
  <c r="I85" i="4"/>
  <c r="AO86" i="4" l="1"/>
  <c r="M86" i="4"/>
  <c r="AD86" i="4" s="1"/>
  <c r="AE86" i="4"/>
  <c r="AA88" i="4"/>
  <c r="AP88" i="4"/>
  <c r="AF88" i="4" s="1"/>
  <c r="Z88" i="4"/>
  <c r="AQ159" i="4"/>
  <c r="AF86" i="4"/>
  <c r="N86" i="4"/>
  <c r="M88" i="4"/>
  <c r="N88" i="4" s="1"/>
  <c r="O88" i="4" s="1"/>
  <c r="AD88" i="4" s="1"/>
  <c r="AE88" i="4" s="1"/>
  <c r="N90" i="4"/>
  <c r="O90" i="4" s="1"/>
  <c r="P90" i="4" s="1"/>
  <c r="AA90" i="4" s="1"/>
  <c r="Q90" i="4" s="1"/>
  <c r="P88" i="4" l="1"/>
  <c r="Q88" i="4"/>
  <c r="Z159" i="4"/>
  <c r="AD90" i="4"/>
  <c r="AE90" i="4" l="1"/>
  <c r="AP90" i="4"/>
  <c r="AF90" i="4" s="1"/>
  <c r="AA159" i="4"/>
  <c r="AF58" i="4"/>
  <c r="I57" i="4"/>
  <c r="L57" i="4" s="1"/>
  <c r="I56" i="4"/>
  <c r="L56" i="4" s="1"/>
  <c r="I55" i="4"/>
  <c r="L55" i="4" s="1"/>
  <c r="I54" i="4"/>
  <c r="L54" i="4" s="1"/>
  <c r="I53" i="4"/>
  <c r="L53" i="4" s="1"/>
  <c r="I52" i="4"/>
  <c r="L52" i="4" s="1"/>
  <c r="I51" i="4"/>
  <c r="L51" i="4" s="1"/>
  <c r="I50" i="4"/>
  <c r="L50" i="4" s="1"/>
  <c r="I49" i="4"/>
  <c r="L49" i="4" s="1"/>
  <c r="I48" i="4"/>
  <c r="L48" i="4" s="1"/>
  <c r="I47" i="4"/>
  <c r="L47" i="4" s="1"/>
  <c r="I46" i="4"/>
  <c r="L46" i="4" s="1"/>
  <c r="I45" i="4"/>
  <c r="L45" i="4" s="1"/>
  <c r="AO45" i="4" s="1"/>
  <c r="I44" i="4"/>
  <c r="L44" i="4" s="1"/>
  <c r="I42" i="4"/>
  <c r="L42" i="4" s="1"/>
  <c r="AM42" i="4" s="1"/>
  <c r="I43" i="4"/>
  <c r="L43" i="4" s="1"/>
  <c r="AN42" i="4" s="1"/>
  <c r="AN44" i="4" l="1"/>
  <c r="AD44" i="4"/>
  <c r="AE44" i="4" s="1"/>
  <c r="AP45" i="4"/>
  <c r="AF45" i="4" s="1"/>
  <c r="AE42" i="4"/>
  <c r="AD45" i="4"/>
  <c r="AE45" i="4" s="1"/>
  <c r="P42" i="4"/>
  <c r="Q42" i="4" s="1"/>
  <c r="M42" i="4"/>
  <c r="AD42" i="4"/>
  <c r="AY42" i="4" s="1"/>
  <c r="M44" i="4"/>
  <c r="M45" i="4"/>
  <c r="AF42" i="4" l="1"/>
  <c r="O44" i="4"/>
  <c r="P44" i="4" s="1"/>
  <c r="Q44" i="4" s="1"/>
  <c r="N44" i="4"/>
  <c r="N45" i="4"/>
  <c r="O45" i="4"/>
  <c r="P45" i="4" s="1"/>
  <c r="O42" i="4"/>
  <c r="N42" i="4"/>
  <c r="AY44" i="4"/>
  <c r="BA10" i="4"/>
  <c r="BA11" i="4"/>
  <c r="BA12" i="4"/>
  <c r="BA13" i="4"/>
  <c r="BA14" i="4"/>
  <c r="BA16" i="4"/>
  <c r="BA17" i="4"/>
  <c r="BA18" i="4"/>
  <c r="BA19" i="4"/>
  <c r="BA20" i="4"/>
  <c r="BA22" i="4"/>
  <c r="BA23" i="4"/>
  <c r="BA24" i="4"/>
  <c r="BA25" i="4"/>
  <c r="BA26" i="4"/>
  <c r="BA28" i="4"/>
  <c r="BA29" i="4"/>
  <c r="BA30" i="4"/>
  <c r="BA37" i="4"/>
  <c r="BA59" i="4"/>
  <c r="BA60" i="4"/>
  <c r="BA61" i="4"/>
  <c r="BA62" i="4"/>
  <c r="BA63" i="4"/>
  <c r="BA65" i="4"/>
  <c r="BA69" i="4"/>
  <c r="BA70" i="4"/>
  <c r="BA71" i="4"/>
  <c r="BA72" i="4"/>
  <c r="BA74" i="4"/>
  <c r="BA75" i="4"/>
  <c r="BA76" i="4"/>
  <c r="BA78" i="4"/>
  <c r="BA79" i="4"/>
  <c r="BA80" i="4"/>
  <c r="BA81" i="4"/>
  <c r="BA82" i="4"/>
  <c r="BA83" i="4"/>
  <c r="BA84" i="4"/>
  <c r="BA85" i="4"/>
  <c r="I40" i="4" l="1"/>
  <c r="L40" i="4" s="1"/>
  <c r="AM38" i="4" s="1"/>
  <c r="AW38" i="4" l="1"/>
  <c r="AM159" i="4"/>
  <c r="AW159" i="4" l="1"/>
  <c r="L85" i="4"/>
  <c r="I84" i="4"/>
  <c r="L84" i="4" s="1"/>
  <c r="I83" i="4"/>
  <c r="L83" i="4" s="1"/>
  <c r="I82" i="4"/>
  <c r="L82" i="4" s="1"/>
  <c r="I81" i="4"/>
  <c r="L81" i="4" s="1"/>
  <c r="I80" i="4"/>
  <c r="L80" i="4" s="1"/>
  <c r="I79" i="4"/>
  <c r="L79" i="4" s="1"/>
  <c r="I78" i="4"/>
  <c r="L78" i="4" s="1"/>
  <c r="AN77" i="4" s="1"/>
  <c r="I77" i="4"/>
  <c r="L77" i="4" s="1"/>
  <c r="AO77" i="4" l="1"/>
  <c r="AF77" i="4" s="1"/>
  <c r="AE77" i="4" s="1"/>
  <c r="AD77" i="4"/>
  <c r="M77" i="4"/>
  <c r="N77" i="4" s="1"/>
  <c r="I69" i="4"/>
  <c r="L69" i="4" s="1"/>
  <c r="AD68" i="4" s="1"/>
  <c r="AO159" i="4" l="1"/>
  <c r="AE68" i="4"/>
  <c r="AN68" i="4"/>
  <c r="M68" i="4"/>
  <c r="N68" i="4" s="1"/>
  <c r="AF68" i="4"/>
  <c r="Y73" i="4"/>
  <c r="BA73" i="4"/>
  <c r="Y68" i="4" l="1"/>
  <c r="BA68" i="4"/>
  <c r="N58" i="4" l="1"/>
  <c r="I67" i="4"/>
  <c r="L67" i="4" s="1"/>
  <c r="I66" i="4"/>
  <c r="L66" i="4" s="1"/>
  <c r="I41" i="4"/>
  <c r="L41" i="4" s="1"/>
  <c r="O58" i="4" l="1"/>
  <c r="AD58" i="4" s="1"/>
  <c r="AD66" i="4"/>
  <c r="M66" i="4"/>
  <c r="N66" i="4" s="1"/>
  <c r="AD67" i="4"/>
  <c r="M67" i="4"/>
  <c r="N67" i="4" s="1"/>
  <c r="Y67" i="4"/>
  <c r="BA67" i="4"/>
  <c r="I39" i="4"/>
  <c r="L39" i="4" s="1"/>
  <c r="AN67" i="4" l="1"/>
  <c r="AF67" i="4" s="1"/>
  <c r="AE67" i="4"/>
  <c r="AE66" i="4"/>
  <c r="AN66" i="4"/>
  <c r="AF66" i="4" s="1"/>
  <c r="Y58" i="4"/>
  <c r="Y66" i="4"/>
  <c r="BA66" i="4"/>
  <c r="I9" i="4"/>
  <c r="BA58" i="4" l="1"/>
  <c r="I10" i="4"/>
  <c r="I38" i="4" l="1"/>
  <c r="L38" i="4" s="1"/>
  <c r="M38" i="4" l="1"/>
  <c r="AD38" i="4" s="1"/>
  <c r="AN38" i="4"/>
  <c r="AE38" i="4" s="1"/>
  <c r="O38" i="4"/>
  <c r="P38" i="4"/>
  <c r="Q38" i="4" s="1"/>
  <c r="AF38" i="4"/>
  <c r="G10" i="5"/>
  <c r="AS38" i="4" l="1"/>
  <c r="AX38" i="4" s="1"/>
  <c r="AT38" i="4" s="1"/>
  <c r="N38" i="4"/>
  <c r="M27" i="4" l="1"/>
  <c r="I26" i="4" l="1"/>
  <c r="L26" i="4" s="1"/>
  <c r="I25" i="4"/>
  <c r="L25" i="4" s="1"/>
  <c r="I24" i="4"/>
  <c r="L24" i="4" s="1"/>
  <c r="I23" i="4"/>
  <c r="L23" i="4" s="1"/>
  <c r="I22" i="4"/>
  <c r="L22" i="4" s="1"/>
  <c r="I21" i="4"/>
  <c r="L21" i="4" s="1"/>
  <c r="N27" i="4" l="1"/>
  <c r="O27" i="4" s="1"/>
  <c r="M21" i="4"/>
  <c r="O21" i="4" s="1"/>
  <c r="AD21" i="4" s="1"/>
  <c r="AN21" i="4" l="1"/>
  <c r="AF21" i="4" s="1"/>
  <c r="AE21" i="4"/>
  <c r="P27" i="4"/>
  <c r="Q27" i="4" s="1"/>
  <c r="P21" i="4"/>
  <c r="N21" i="4"/>
  <c r="I20" i="4"/>
  <c r="L20" i="4" s="1"/>
  <c r="I19" i="4"/>
  <c r="L19" i="4" s="1"/>
  <c r="I18" i="4"/>
  <c r="L18" i="4" s="1"/>
  <c r="I17" i="4"/>
  <c r="L17" i="4" s="1"/>
  <c r="I16" i="4"/>
  <c r="L16" i="4" s="1"/>
  <c r="I15" i="4"/>
  <c r="L15" i="4" s="1"/>
  <c r="I13" i="4"/>
  <c r="L13" i="4" s="1"/>
  <c r="Y27" i="4" l="1"/>
  <c r="AF27" i="4"/>
  <c r="AE27" i="4"/>
  <c r="M15" i="4"/>
  <c r="Q21" i="4"/>
  <c r="Y21" i="4"/>
  <c r="O15" i="4" l="1"/>
  <c r="AD15" i="4" s="1"/>
  <c r="N15" i="4"/>
  <c r="I12" i="4"/>
  <c r="L12" i="4" s="1"/>
  <c r="I11" i="4"/>
  <c r="L11" i="4" s="1"/>
  <c r="AN15" i="4" l="1"/>
  <c r="AF15" i="4" s="1"/>
  <c r="AE15" i="4"/>
  <c r="P15" i="4"/>
  <c r="L10" i="4"/>
  <c r="I14" i="4"/>
  <c r="L14" i="4" s="1"/>
  <c r="AX15" i="4" l="1"/>
  <c r="AT15" i="4" s="1"/>
  <c r="AS15" i="4"/>
  <c r="AY15" i="4" s="1"/>
  <c r="Q15" i="4"/>
  <c r="BA15" i="4" s="1"/>
  <c r="Y15" i="4"/>
  <c r="L9" i="4"/>
  <c r="M9" i="4" l="1"/>
  <c r="M159" i="4" s="1"/>
  <c r="H9" i="5"/>
  <c r="G9" i="5"/>
  <c r="O9" i="4" l="1"/>
  <c r="O159" i="4" s="1"/>
  <c r="N9" i="4"/>
  <c r="N159" i="4" s="1"/>
  <c r="J9" i="5"/>
  <c r="L9" i="5" s="1"/>
  <c r="I9" i="5"/>
  <c r="K9" i="5" s="1"/>
  <c r="P9" i="4" l="1"/>
  <c r="AD9" i="4"/>
  <c r="G8" i="5"/>
  <c r="H7" i="5"/>
  <c r="G7" i="5"/>
  <c r="AN9" i="4" l="1"/>
  <c r="AN159" i="4" s="1"/>
  <c r="AE9" i="4"/>
  <c r="AE159" i="4"/>
  <c r="AD159" i="4"/>
  <c r="Q9" i="4"/>
  <c r="P159" i="4"/>
  <c r="AS9" i="4"/>
  <c r="AX9" i="4"/>
  <c r="AF9" i="4"/>
  <c r="J7" i="5"/>
  <c r="I7" i="5"/>
  <c r="AS159" i="4" l="1"/>
  <c r="AZ9" i="4"/>
  <c r="AZ126" i="4"/>
  <c r="AZ116" i="4"/>
  <c r="AZ110" i="4"/>
  <c r="AZ103" i="4"/>
  <c r="AZ97" i="4"/>
  <c r="AZ91" i="4"/>
  <c r="AZ73" i="4"/>
  <c r="AZ56" i="4"/>
  <c r="AZ50" i="4"/>
  <c r="AZ44" i="4"/>
  <c r="AZ90" i="4"/>
  <c r="AZ49" i="4"/>
  <c r="AZ156" i="4"/>
  <c r="AZ121" i="4"/>
  <c r="AZ115" i="4"/>
  <c r="AZ109" i="4"/>
  <c r="AZ102" i="4"/>
  <c r="AZ150" i="4"/>
  <c r="AZ120" i="4"/>
  <c r="AZ114" i="4"/>
  <c r="AZ108" i="4"/>
  <c r="AZ101" i="4"/>
  <c r="AZ95" i="4"/>
  <c r="AZ89" i="4"/>
  <c r="AZ67" i="4"/>
  <c r="AZ54" i="4"/>
  <c r="AZ48" i="4"/>
  <c r="AZ38" i="4"/>
  <c r="AZ144" i="4"/>
  <c r="AZ119" i="4"/>
  <c r="AZ113" i="4"/>
  <c r="AZ107" i="4"/>
  <c r="AZ100" i="4"/>
  <c r="AZ94" i="4"/>
  <c r="AZ88" i="4"/>
  <c r="AZ66" i="4"/>
  <c r="AZ53" i="4"/>
  <c r="AZ47" i="4"/>
  <c r="AZ27" i="4"/>
  <c r="AZ138" i="4"/>
  <c r="AZ118" i="4"/>
  <c r="AZ112" i="4"/>
  <c r="AZ106" i="4"/>
  <c r="AZ99" i="4"/>
  <c r="AZ93" i="4"/>
  <c r="AZ86" i="4"/>
  <c r="AZ58" i="4"/>
  <c r="AZ52" i="4"/>
  <c r="AZ46" i="4"/>
  <c r="AZ21" i="4"/>
  <c r="AZ132" i="4"/>
  <c r="AZ117" i="4"/>
  <c r="AZ111" i="4"/>
  <c r="AZ104" i="4"/>
  <c r="AZ98" i="4"/>
  <c r="AZ92" i="4"/>
  <c r="AZ77" i="4"/>
  <c r="AZ57" i="4"/>
  <c r="AZ51" i="4"/>
  <c r="AZ45" i="4"/>
  <c r="AZ15" i="4"/>
  <c r="AZ96" i="4"/>
  <c r="AZ68" i="4"/>
  <c r="AZ55" i="4"/>
  <c r="AZ42" i="4"/>
  <c r="AT9" i="4"/>
  <c r="AT159" i="4" s="1"/>
  <c r="AX159" i="4"/>
  <c r="Y9" i="4"/>
  <c r="Y159" i="4" s="1"/>
  <c r="AY9" i="4"/>
  <c r="AY159" i="4" s="1"/>
  <c r="K7" i="5"/>
  <c r="K11" i="5" s="1"/>
  <c r="I11" i="5"/>
  <c r="L7" i="5"/>
  <c r="L11" i="5" s="1"/>
  <c r="J11" i="5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J5" i="2" s="1"/>
  <c r="B5" i="2"/>
  <c r="B6" i="2" s="1"/>
  <c r="B7" i="2" s="1"/>
  <c r="B8" i="2" s="1"/>
  <c r="B9" i="2" s="1"/>
  <c r="B10" i="2" s="1"/>
  <c r="B11" i="2" s="1"/>
  <c r="G4" i="2"/>
  <c r="I4" i="2" s="1"/>
  <c r="J4" i="2" s="1"/>
  <c r="AZ159" i="4" l="1"/>
  <c r="BA9" i="4"/>
  <c r="J12" i="2"/>
  <c r="BA77" i="4" l="1"/>
  <c r="BA21" i="4" l="1"/>
  <c r="BA27" i="4"/>
  <c r="AF44" i="4"/>
  <c r="BA159" i="4" l="1"/>
  <c r="AB159" i="4" l="1"/>
  <c r="Q92" i="4"/>
  <c r="Q110" i="4"/>
  <c r="Q111" i="4"/>
  <c r="Q112" i="4"/>
  <c r="Q159" i="4" s="1"/>
  <c r="AC159" i="4"/>
  <c r="Q114" i="4"/>
  <c r="AP159" i="4"/>
  <c r="AF91" i="4"/>
  <c r="AF159" i="4" s="1"/>
</calcChain>
</file>

<file path=xl/sharedStrings.xml><?xml version="1.0" encoding="utf-8"?>
<sst xmlns="http://schemas.openxmlformats.org/spreadsheetml/2006/main" count="1236" uniqueCount="268">
  <si>
    <t>№ п/п</t>
  </si>
  <si>
    <t>Вид работ</t>
  </si>
  <si>
    <t>№ расценки</t>
  </si>
  <si>
    <t>Стоимость в ценах на 01.01.2015</t>
  </si>
  <si>
    <t>Дефлятор текущих цен</t>
  </si>
  <si>
    <t>Стоимость в текущих ценах</t>
  </si>
  <si>
    <t>Стоимость с НДС</t>
  </si>
  <si>
    <t>Кол-во, км</t>
  </si>
  <si>
    <t>ИТОГО</t>
  </si>
  <si>
    <t>Цена, млн. руб.</t>
  </si>
  <si>
    <t>млн. руб.</t>
  </si>
  <si>
    <t>заполнять</t>
  </si>
  <si>
    <t>не заполнять</t>
  </si>
  <si>
    <t>Расчет стоимости строительства КЛ</t>
  </si>
  <si>
    <t>Напряжение, кВ</t>
  </si>
  <si>
    <t>Норматив цены, млн. руб.</t>
  </si>
  <si>
    <t>Полная стоимость в текущих ценах</t>
  </si>
  <si>
    <t>Полная стоимость в текущих ценах с НДС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</si>
  <si>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08.02.2016 №75)</t>
  </si>
  <si>
    <t>Год раскрытия информации: 2018 год</t>
  </si>
  <si>
    <t>П3-03</t>
  </si>
  <si>
    <t>Л2-44-2</t>
  </si>
  <si>
    <t>Строительство ВЛ 35 кВ от ПС 110 кВ Вольная до ПС 35 кВ Весенняя (ПИР, СМР, ввод-2019г.)</t>
  </si>
  <si>
    <t>Строительство ВЛ 110 кВ Соколовская-Вольная-2 (ПИР, СМР, ввод-2019г.)</t>
  </si>
  <si>
    <t>Л1-44-4</t>
  </si>
  <si>
    <t>П3-10</t>
  </si>
  <si>
    <t>Полная стоимость в прогнозных ценах  с НДС</t>
  </si>
  <si>
    <t>Полная стоимость в прогнозных ценах</t>
  </si>
  <si>
    <t>Начальник производственно- технического отдела  филиала ООО ХК "СДС-Энерго"-"Прокопьевскэнерго"</t>
  </si>
  <si>
    <t>А.А. Гребенчук</t>
  </si>
  <si>
    <t xml:space="preserve"> Таблица 1. Строительство (реконструкция) ВЛ 6-750 кВ</t>
  </si>
  <si>
    <t>По объектам  инвестиционной программы ООО ХК "СДС-Энерго" на 2020 год</t>
  </si>
  <si>
    <t>Наименование</t>
  </si>
  <si>
    <t>единица</t>
  </si>
  <si>
    <t>км</t>
  </si>
  <si>
    <t>Коэффициент перехода (пересчета) от базового УНЦ к УНЦ субъектов РФ</t>
  </si>
  <si>
    <t>-</t>
  </si>
  <si>
    <t>ячейка</t>
  </si>
  <si>
    <t>В7-01</t>
  </si>
  <si>
    <t>Напряжение 6 кВ</t>
  </si>
  <si>
    <t>П6-06</t>
  </si>
  <si>
    <t>объект</t>
  </si>
  <si>
    <t>Л3-02-1</t>
  </si>
  <si>
    <t xml:space="preserve">Напряжение - 6 кВ, тип опор и количество цепей - одноцепная, все типы опор за исключением многогранных </t>
  </si>
  <si>
    <t>Л4-02-1</t>
  </si>
  <si>
    <t>тн опор</t>
  </si>
  <si>
    <t xml:space="preserve">Напряжение - 6 кВ,тип опор - все типы опор за исключением многогранных </t>
  </si>
  <si>
    <t>Л7-06-3</t>
  </si>
  <si>
    <t>Б7-02</t>
  </si>
  <si>
    <t>га</t>
  </si>
  <si>
    <t>Количество фазных проводов - 1 шт, сечение фазного провода - 150 мм2, тип провода - СИП-3</t>
  </si>
  <si>
    <t>Расчистка кустарников и мелколесья, вырубка деревьев с диаметром ствола до 11 см. 12 см и более</t>
  </si>
  <si>
    <t>П6-07</t>
  </si>
  <si>
    <t xml:space="preserve">Затраты по УНЦ от 6 до 10,9 </t>
  </si>
  <si>
    <t>Ц1-42-4</t>
  </si>
  <si>
    <t>Ц2-42-35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</si>
  <si>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</si>
  <si>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Л7-04-3</t>
  </si>
  <si>
    <t>Количество фазных проводов - 1 шт, сечение фазного провода - 70 мм2, тип провода - СИП-3</t>
  </si>
  <si>
    <t>Ц1-42-2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</si>
  <si>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</si>
  <si>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И2-01-1</t>
  </si>
  <si>
    <t>Напряжение - 35 кВ, номинальный ток - 2000 А, номинальный ток отключения - 25 кА</t>
  </si>
  <si>
    <t>В8-01-1</t>
  </si>
  <si>
    <t>Напряжение - 6 кВ, номинальный ток - 1000 А, номинальный ток отключения - 20 кА</t>
  </si>
  <si>
    <t>И10-01-1</t>
  </si>
  <si>
    <t>Наименование - ТТ на три фазы, напряжение - 35 кВ.</t>
  </si>
  <si>
    <t>Ц1-42-3</t>
  </si>
  <si>
    <t>П6-08</t>
  </si>
  <si>
    <t xml:space="preserve">Затраты по УНЦ от 11 до 20,9 </t>
  </si>
  <si>
    <t>И12-08</t>
  </si>
  <si>
    <t>Прочие устройства (аппаратура)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</si>
  <si>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 (Приказ Минэнерго от 17.01.2019 №10)</t>
  </si>
  <si>
    <t>И5-06-2</t>
  </si>
  <si>
    <t>Напряжение - 35 кВ</t>
  </si>
  <si>
    <t>Напряжение - 35 кВ, номинальный ток 630 А, номинальный ток отключения 20кА</t>
  </si>
  <si>
    <t>Технические характеристики</t>
  </si>
  <si>
    <t>Количество</t>
  </si>
  <si>
    <t>Единицы измерения</t>
  </si>
  <si>
    <t xml:space="preserve">Укрупненный норматив цены,  тыс рублей (без НДС) </t>
  </si>
  <si>
    <t>Величина затрат, тыс рублей (без НДС)</t>
  </si>
  <si>
    <t>Реконструкция сооружения ЛЭП 6 кВ 6-11-Т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</si>
  <si>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НДС</t>
  </si>
  <si>
    <t xml:space="preserve">Итого объем финансовых потребностей, в ценах, в которых рассчитаны укрупненные нормативы цены с учетом переводного коэффициента (без НДС) </t>
  </si>
  <si>
    <t>Итого объем финансовых потребностей ОФПУНЦd, определенный в текущих ценах, в которых рассчитаны укрупненные нормативы цены  (с НДС)</t>
  </si>
  <si>
    <r>
      <rPr>
        <b/>
        <sz val="11"/>
        <rFont val="Times New Roman"/>
        <family val="1"/>
        <charset val="204"/>
      </rPr>
      <t xml:space="preserve">Объем финансовых потребностей </t>
    </r>
    <r>
      <rPr>
        <b/>
        <i/>
        <sz val="11"/>
        <rFont val="Times New Roman"/>
        <family val="1"/>
        <charset val="204"/>
      </rPr>
      <t>ОФП</t>
    </r>
    <r>
      <rPr>
        <b/>
        <i/>
        <vertAlign val="subscript"/>
        <sz val="11"/>
        <rFont val="Times New Roman"/>
        <family val="1"/>
        <charset val="204"/>
      </rPr>
      <t>ПР</t>
    </r>
    <r>
      <rPr>
        <b/>
        <i/>
        <vertAlign val="superscript"/>
        <sz val="11"/>
        <rFont val="Times New Roman"/>
        <family val="1"/>
        <charset val="204"/>
      </rPr>
      <t xml:space="preserve">УНЦ </t>
    </r>
    <r>
      <rPr>
        <b/>
        <sz val="11"/>
        <rFont val="Times New Roman"/>
        <family val="1"/>
        <charset val="204"/>
      </rPr>
      <t>(в прогнозных ценах с НДС)</t>
    </r>
  </si>
  <si>
    <t>Итого фактический объем финансовых потребностей ОФПУНЦd, определенный в текущих ценах, в которых рассчитаны укрупненные нормативы цены  (с НДС)</t>
  </si>
  <si>
    <t>В3-13-1</t>
  </si>
  <si>
    <t>Т5-10-3</t>
  </si>
  <si>
    <t>Мощность 100кВА, Т-35/0,23</t>
  </si>
  <si>
    <t>Э3-08-2</t>
  </si>
  <si>
    <t>Мощность 630 кВА</t>
  </si>
  <si>
    <t>Ц1-42-5</t>
  </si>
  <si>
    <t>Т4-13-2</t>
  </si>
  <si>
    <t>Мощность трансформатора 63 МВА, двухобмоточный, напряжение 110/6 кВ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</si>
  <si>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</si>
  <si>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Выполнение работ по модернизации системы телемеханики на ПС 110/10 кВ "Керамзитовая" (ПИР- 2019 г., СМР, ПНР, ввод - 2020 г.)</t>
  </si>
  <si>
    <t>А3-01</t>
  </si>
  <si>
    <t>Затраты по УНЦ,млн.руб.</t>
  </si>
  <si>
    <t>Напряжение, 35кВ и выше</t>
  </si>
  <si>
    <t>Ц1-42-11</t>
  </si>
  <si>
    <t>Выполнение работ по модернизации системы телемеханики на ПС 110/6,6/6,3 кВ "Набережная" (ПИР, СМР, ПНР, ввод - 2020 г.)</t>
  </si>
  <si>
    <t>А4-01</t>
  </si>
  <si>
    <t>Напряжение, 6кВ</t>
  </si>
  <si>
    <t>0,4; 6; 10</t>
  </si>
  <si>
    <t>П6-09</t>
  </si>
  <si>
    <t>А1-01</t>
  </si>
  <si>
    <t xml:space="preserve">точка учета </t>
  </si>
  <si>
    <t>Класс напряжения объекта 0,23кВ, прибор учета однофазный</t>
  </si>
  <si>
    <t>А1-02</t>
  </si>
  <si>
    <t>Класс напряжения объекта 0,4кВ, прибор учета трехфазный</t>
  </si>
  <si>
    <t>А2-01</t>
  </si>
  <si>
    <t>ИВКЭ для ТП, РУ 6-20кВ</t>
  </si>
  <si>
    <t>А2-02</t>
  </si>
  <si>
    <t>ИВКЭ для ПС 35кВ и выше</t>
  </si>
  <si>
    <t>А5-01</t>
  </si>
  <si>
    <t>Шкаф ЦК ПС</t>
  </si>
  <si>
    <t>А5-02</t>
  </si>
  <si>
    <t>Сервер АСУТП и ТМ (ССПТИ)</t>
  </si>
  <si>
    <t>А5-05</t>
  </si>
  <si>
    <t>Шкаф с 6 коммутаторами</t>
  </si>
  <si>
    <t>А5-06</t>
  </si>
  <si>
    <t>Шкаф гарантированного питания  АСУТП и ТМ (ССПТИ)</t>
  </si>
  <si>
    <t>А5-08</t>
  </si>
  <si>
    <t>АРМ оперативного персонала</t>
  </si>
  <si>
    <t>Л3-04-1</t>
  </si>
  <si>
    <t>Тип опор и количество цепей - одноцепная, все типы опор за исключением многогранных</t>
  </si>
  <si>
    <t>Л4-03-1</t>
  </si>
  <si>
    <t>Л5-05</t>
  </si>
  <si>
    <t xml:space="preserve">Сечение фазного провода - 185 мм2, </t>
  </si>
  <si>
    <t>Л6-07</t>
  </si>
  <si>
    <t>Диаметр - 14,2 мм</t>
  </si>
  <si>
    <t>Б7-03</t>
  </si>
  <si>
    <t>Ц2-42-23</t>
  </si>
  <si>
    <t>М4-01</t>
  </si>
  <si>
    <t>Л5-04</t>
  </si>
  <si>
    <t>Сечение фазного провода - 150 мм2</t>
  </si>
  <si>
    <t>О1-03-1</t>
  </si>
  <si>
    <t>Механическая прочность на разрыв в кН 114, кол-во волокон в тросе 24</t>
  </si>
  <si>
    <t>Л1-03-1</t>
  </si>
  <si>
    <t>П3-07</t>
  </si>
  <si>
    <t>Напряжение - 35 кВ, протяженность - 5 км.</t>
  </si>
  <si>
    <t>К1-05-2</t>
  </si>
  <si>
    <t>Б2-02-2</t>
  </si>
  <si>
    <t>Н2-04</t>
  </si>
  <si>
    <t>П5-01</t>
  </si>
  <si>
    <t>1 км</t>
  </si>
  <si>
    <t>1 км по трассе</t>
  </si>
  <si>
    <t>Кабель с алюминеевой жилой,сечение жилы 120 мм2, напряжение 10 кВ</t>
  </si>
  <si>
    <t>Напряжение 10 кВ, две цепи КЛ, без восстановления газонов, все субъекты</t>
  </si>
  <si>
    <t>Кабельная эстакада</t>
  </si>
  <si>
    <t>Напряжение - 10 кВ</t>
  </si>
  <si>
    <t>Ц1-42-7</t>
  </si>
  <si>
    <t>Строительство  КЛ 10 кВ ПС 110/10 кВ "Керамзитовая"</t>
  </si>
  <si>
    <r>
      <t xml:space="preserve">Объем финансирования инвестиций по инвестиционному проекту </t>
    </r>
    <r>
      <rPr>
        <b/>
        <i/>
        <sz val="11"/>
        <rFont val="Times New Roman"/>
        <family val="1"/>
        <charset val="204"/>
      </rPr>
      <t>ОФ</t>
    </r>
    <r>
      <rPr>
        <b/>
        <i/>
        <vertAlign val="subscript"/>
        <sz val="11"/>
        <rFont val="Times New Roman"/>
        <family val="1"/>
        <charset val="204"/>
      </rPr>
      <t>ПР</t>
    </r>
    <r>
      <rPr>
        <b/>
        <i/>
        <vertAlign val="superscript"/>
        <sz val="11"/>
        <rFont val="Times New Roman"/>
        <family val="1"/>
        <charset val="204"/>
      </rPr>
      <t>всего</t>
    </r>
    <r>
      <rPr>
        <b/>
        <sz val="11"/>
        <rFont val="Times New Roman"/>
        <family val="1"/>
        <charset val="204"/>
      </rPr>
      <t xml:space="preserve"> (в прогнозных ценах с НДС), в том числе:</t>
    </r>
  </si>
  <si>
    <r>
      <t xml:space="preserve">Фактический объем финансирования инвестиций по инвестиционному проекту </t>
    </r>
    <r>
      <rPr>
        <b/>
        <i/>
        <sz val="11"/>
        <rFont val="Times New Roman"/>
        <family val="1"/>
        <charset val="204"/>
      </rPr>
      <t>Ф</t>
    </r>
    <r>
      <rPr>
        <b/>
        <i/>
        <vertAlign val="subscript"/>
        <sz val="11"/>
        <rFont val="Times New Roman"/>
        <family val="1"/>
        <charset val="204"/>
      </rPr>
      <t xml:space="preserve">d </t>
    </r>
    <r>
      <rPr>
        <b/>
        <sz val="11"/>
        <rFont val="Times New Roman"/>
        <family val="1"/>
        <charset val="204"/>
      </rPr>
      <t xml:space="preserve">(с НДС) </t>
    </r>
    <r>
      <rPr>
        <b/>
        <vertAlign val="superscript"/>
        <sz val="11"/>
        <rFont val="Times New Roman"/>
        <family val="1"/>
        <charset val="204"/>
      </rPr>
      <t>2)</t>
    </r>
  </si>
  <si>
    <r>
      <t xml:space="preserve">Объем финансовых потребностей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Times New Roman"/>
        <family val="1"/>
        <charset val="204"/>
      </rPr>
      <t>ОФП</t>
    </r>
    <r>
      <rPr>
        <b/>
        <i/>
        <vertAlign val="superscript"/>
        <sz val="11"/>
        <rFont val="Times New Roman"/>
        <family val="1"/>
        <charset val="204"/>
      </rPr>
      <t>УНЦ</t>
    </r>
    <r>
      <rPr>
        <b/>
        <i/>
        <vertAlign val="subscript"/>
        <sz val="11"/>
        <rFont val="Times New Roman"/>
        <family val="1"/>
        <charset val="204"/>
      </rPr>
      <t xml:space="preserve">d  </t>
    </r>
    <r>
      <rPr>
        <b/>
        <sz val="11"/>
        <rFont val="Times New Roman"/>
        <family val="1"/>
        <charset val="204"/>
      </rPr>
      <t xml:space="preserve">(с НДС) </t>
    </r>
    <r>
      <rPr>
        <b/>
        <vertAlign val="superscript"/>
        <sz val="11"/>
        <rFont val="Times New Roman"/>
        <family val="1"/>
        <charset val="204"/>
      </rPr>
      <t>2)</t>
    </r>
  </si>
  <si>
    <t>35;6</t>
  </si>
  <si>
    <t>В3-14-1</t>
  </si>
  <si>
    <t>Напряжение 35 кВ номинальный ток 1000А, номинальный ток отключение - 25кА</t>
  </si>
  <si>
    <t>П6-10</t>
  </si>
  <si>
    <t>Т4-05-1</t>
  </si>
  <si>
    <t>Мощность 25 МВА</t>
  </si>
  <si>
    <t>В3-01-1</t>
  </si>
  <si>
    <t>Напряжение 35 кВ номинальный ток 1000 А, номинальный ток отключение - 25кА</t>
  </si>
  <si>
    <t>В3-03-1</t>
  </si>
  <si>
    <t>Напряжение 35 кВ номинальный ток 3150 А, номинальный ток отключение - 25кА</t>
  </si>
  <si>
    <t>Л3-03-2</t>
  </si>
  <si>
    <t>Тип опор и количество цепей - двухцепная, все типы опор за исключением многогранных</t>
  </si>
  <si>
    <t>Ц1-42-35</t>
  </si>
  <si>
    <t>Б1-10</t>
  </si>
  <si>
    <t>м2</t>
  </si>
  <si>
    <t>Подготовка и устройство территории ПС</t>
  </si>
  <si>
    <t>тн</t>
  </si>
  <si>
    <t>П3-12</t>
  </si>
  <si>
    <t>Напряжение - 110 кВ, протяженность - 10 км.</t>
  </si>
  <si>
    <t>П2-01</t>
  </si>
  <si>
    <t>1 ед.</t>
  </si>
  <si>
    <t>Ячейка выключателя, напряжение 3,5 кВ</t>
  </si>
  <si>
    <t>План</t>
  </si>
  <si>
    <t>Предложение по корретировке плана</t>
  </si>
  <si>
    <t>Стоимость в ценах на 01.01.2018г.  с учетом коэффициента</t>
  </si>
  <si>
    <t xml:space="preserve">дефлятор от </t>
  </si>
  <si>
    <t>нд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</si>
  <si>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</si>
  <si>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Напряжение - 35 кВ, номинальный ток - 1000 А, номинальный ток напряжения - 25 кА</t>
  </si>
  <si>
    <t>Напряжение - 10 кВ, номинальный ток - 1000 А, номинальный ток напряжения - 20 кА</t>
  </si>
  <si>
    <t xml:space="preserve">Затраты по УНЦ от 21 до 50,9 </t>
  </si>
  <si>
    <t>Реконструкции ЗРУ-10 кВ,  ПС 110/10 кВ "Керамзитовая". Замена ячеек КРУ-10.(ПИР - 2021 г., СМР, ПНР, ввод - 2022 г.)</t>
  </si>
  <si>
    <t>Т4-06-2</t>
  </si>
  <si>
    <t>Мощность - 10 МВА, обозначение двухобмоточного трансформатора - 110 кВ</t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</si>
  <si>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</si>
  <si>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Реконструкция ЗРУ-35 кВ ПС 35/6 кВ "ОГР" с заменой ячеек КРУ-35. (СМР, ПНР, ввод - 2022 г.)</t>
  </si>
  <si>
    <t>Т4-07-1</t>
  </si>
  <si>
    <t>Мощность - 16 МВА, обозначение двухобмоточного трансформатора - 35 кВ</t>
  </si>
  <si>
    <t>Замена отработавшего срок эксплуатации трансформатора Т-2 ТДНС-16000 кВА 35/6 кВ на ПС 35/6 кВ  "Шурапская"(СМР, ПНР, ввод - 2023 г.)</t>
  </si>
  <si>
    <t>Замена отработавшего срок эксплуатации трансформатора Т-2 ТДНС-10000 кВА 35/6 кВ на ПС 35/6 кВ № 10. (СМР, ПНР, ввод - 2023 г.)</t>
  </si>
  <si>
    <t>Т4-06-1</t>
  </si>
  <si>
    <t>Мощность - 10 МВА, обозначение двухобмоточного трансформатора - 35 кВ</t>
  </si>
  <si>
    <t>Замена отработавшего срок эксплуатации трансформатора Т-3 ТДНС-10000 кВА 35/6 кВ на ПС 35/6 кВ № 42 (СМР, ПНР, ввод - 2023 г.)</t>
  </si>
  <si>
    <t>Реконструкция ПС  35/6 кВ № 1 ЗРУ-35 с заменой масляных выключателей 35 на вакуумные, установка ШОТ.(ПИР, СМР, ПНР, ввод - 2023 г.)</t>
  </si>
  <si>
    <t>В2-05-1</t>
  </si>
  <si>
    <t>Напряжение - 35 кВ, номинальный ток - 2000 А, номинальный ток напряжения - 25 кА</t>
  </si>
  <si>
    <t>И1 3-05</t>
  </si>
  <si>
    <t>Шкаф с зарядно-подзарядными устройствами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</si>
  <si>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</si>
  <si>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 xml:space="preserve">Затраты по УНЦ от 1,1 до 5,9 </t>
  </si>
  <si>
    <t>Замена отработавшего срок эксплуатации трансформатора Т-2 ТДНС-10000 кВА  на ПС 110/10 кВ "Керамзитовая (СМР, ПНР, ввод - 2024 г.)</t>
  </si>
  <si>
    <t xml:space="preserve">Реконструкция ОРУ-35 кВ ПС 35/6 кВ № 41 с установкой блок-модуля 35 кВ (СМР, ПНР, ввод - 2024 г.) </t>
  </si>
  <si>
    <t>Реконструкция ЗРУ-6 кВ ПС 6/0,4 кВ № 32 с устройствами РЗиА,  установкой ШОТ (СМР, ПНР, ввод - 2024 г.)</t>
  </si>
  <si>
    <t>В2-01-1</t>
  </si>
  <si>
    <t>Напряжение - 6 кВ, номинальный ток - 630 А, номинальный ток напряжения - 20 кА</t>
  </si>
  <si>
    <t>П2-02</t>
  </si>
  <si>
    <t>ФАКТ</t>
  </si>
  <si>
    <t>По объектам  инвестиционной программы ООО ХК "СДС-Энерго" 2020 - 2024 годов</t>
  </si>
  <si>
    <t>Выкуп (строительство) ВЛ 110 кВ от ПС 220/110/35кВ "Соколовская" до ПС 110/35/6 кВ "Вольная"</t>
  </si>
  <si>
    <t>Сечение фазного провода - 185 мм2</t>
  </si>
  <si>
    <t>Л1-04-1</t>
  </si>
  <si>
    <t>ед.</t>
  </si>
  <si>
    <t>Напряжение - 110 кВ, протяженность -10 км.</t>
  </si>
  <si>
    <t xml:space="preserve">Строительство ПС 110/35/6 кВ"Вольная" </t>
  </si>
  <si>
    <t>110;35;6</t>
  </si>
  <si>
    <t>В4-01-1</t>
  </si>
  <si>
    <t>Напряжение 110 кВ номинальный ток - вне зависимости, номинальный ток отключение - 40кА</t>
  </si>
  <si>
    <t>Т1-04-1</t>
  </si>
  <si>
    <t>Трехобмоточный трансформатор напряжением 110/35/6 кВ Мощность 25 МВА</t>
  </si>
  <si>
    <t>Напряжение 35 кВ номинальный ток 630 А, номинальный ток отключение - 20 кА</t>
  </si>
  <si>
    <t>Напряжение 6 кВ номинальный ток 1000 А, номинальный ток отключение - 20кА</t>
  </si>
  <si>
    <t>Ц2-42-4</t>
  </si>
  <si>
    <t>расценка</t>
  </si>
  <si>
    <t>коэф-т</t>
  </si>
  <si>
    <t xml:space="preserve">Выполнение проектных работ по созданию информационно вычислительного комплекса объекта энергетики (ИВКЭ)
</t>
  </si>
  <si>
    <t>Реконструкция ЗРУ-35 кВ ПС 35/10 кВ "Танай". Замена ячеек КРУ-35 (ПИР - 2020 г., СМР, ПНР, ввод - 2021 г.)</t>
  </si>
  <si>
    <t>Реконструкция соружения ЛЭП 6 кВ  6-52-П проектными работами с заменой деревянных опор и провода на марку СИП и установкой реклоузеров (с технологией Smart Grid) на отходящих линиях (1 шт.) (ПИР, СМР, ПНР, ввод - 2023 г.)</t>
  </si>
  <si>
    <t>Год раскрытия информации: 2021 год</t>
  </si>
  <si>
    <t>И1 1-07-2</t>
  </si>
  <si>
    <t>И1 1-04--2</t>
  </si>
  <si>
    <t>И1 2-03</t>
  </si>
  <si>
    <t>И1 1-16-2</t>
  </si>
  <si>
    <t>Ц1-42-12</t>
  </si>
  <si>
    <t>Н3-01-2</t>
  </si>
  <si>
    <t>Сечение жилы 1,5мм2, количество жил 5шт</t>
  </si>
  <si>
    <t>Н3-02-1</t>
  </si>
  <si>
    <t>Сечение жилы 2,5мм2, количество жил 4шт</t>
  </si>
  <si>
    <t>Строительство отпайки от ЛЭП-6кВ 6-52-П для ПС №25</t>
  </si>
  <si>
    <t xml:space="preserve">Затраты по УНЦ от 1 до 5,9 </t>
  </si>
  <si>
    <t>Строительство отпайки от 2-х цепной ЛЭП-10кВф.2.4 для ПС №22</t>
  </si>
  <si>
    <t>Реконструкция временной ВЛ 10 кВ и ТП 336 (инв. № 00003560) с проектными работами с заменой деревянных опор  на ж/б, провода на марку СИП и установкой реклоузера (с технологией Smart Grid- 1 шт.), разъединителей (7 шт.) на отходящих линиях (ПИР, СМР, ПНР, ввод - 2021 г.)</t>
  </si>
  <si>
    <t>Напряжение 10 кВ, протяженность 5,23 км</t>
  </si>
  <si>
    <t>Строительство двух двухцепных ЛЭП-6 кВ на ж/ю опорах с проводом СИП-3 от ПС 110 кВ Вольная до ОФ "Кузбасс 300"</t>
  </si>
  <si>
    <t>Количество фазных проводов - 1 шт, сечение фазного провода - 120 мм2, тип провода - СИП-3</t>
  </si>
  <si>
    <t>Строитеельство ЛЭП-6 кВ от ПС №5 до РУ-6 кВ ООО "Шахта 12"</t>
  </si>
  <si>
    <t>Напряжение 6 кВ, номинальный ток 1000 А, номинальный ток отключения 20кА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</si>
  <si>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</si>
  <si>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А7-05</t>
  </si>
  <si>
    <t>Мультиплексор ПЦН</t>
  </si>
  <si>
    <t>ед</t>
  </si>
  <si>
    <t>Затраты по УНЦ от 1.1 до 5.9 млн.руб</t>
  </si>
  <si>
    <t>Максимально допустимая растягмивающая нагрузка, кН</t>
  </si>
  <si>
    <t>О2-02-2</t>
  </si>
  <si>
    <t>Замена отработавшего срок эксплуатации трансформатора Т-1 ТДН-15000 кВА 35/6 кВ на ТДН-10000 кВА 35/6 на ПС 35/6 кВ № 5 (СМР - 2024г.)</t>
  </si>
  <si>
    <t xml:space="preserve">Реконструкция ОРУ-35 кВ (замена выключателей 35 кВ, установка разъединителей и предохранителей 35 кВ) ПС №31 (2020 г.)
</t>
  </si>
  <si>
    <t>Реконструкция ТП-3 (2020 г.)</t>
  </si>
  <si>
    <t>Замена трансформатора ТДНГУ –63000/110 на ПС АЗОТ-1 (2020 г.)</t>
  </si>
  <si>
    <t>Выкуп (строительство) ВЛ 35 кВ от ПС 110/35/6 кВ "Вольная" до ПС 35/6 кВ "ОГР" (2020 г.)</t>
  </si>
  <si>
    <t>Дефлятор:
2019г. от 30.09.2020г.
2020 г. от 26.09.2020г.</t>
  </si>
  <si>
    <t>Дефлятор:
2019г. от 30.09.2020г.
2020 г.-2024г. от 26.09.2020г.</t>
  </si>
  <si>
    <t xml:space="preserve">Строительство ВЛ 110 кВ Соколовская-Вольная-2 (1 этап: ПИР-2019г., СМР, ввод-2020г., 2 этап: ПИР, СМР, ввод -2021г.)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</si>
</sst>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vertAlign val="subscript"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i/>
      <sz val="11"/>
      <name val="Symbol"/>
      <family val="1"/>
      <charset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03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0" fillId="3" borderId="0" xfId="0" applyFill="1" applyAlignment="1"/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0" fillId="4" borderId="0" xfId="0" applyFill="1"/>
    <xf numFmtId="0" fontId="0" fillId="2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3" xfId="0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3" xfId="0" applyNumberFormat="1" applyFont="1" applyFill="1" applyBorder="1"/>
    <xf numFmtId="164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0" fillId="0" borderId="0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9" fillId="0" borderId="0" xfId="0" applyNumberFormat="1" applyFont="1" applyFill="1" applyAlignment="1">
      <alignment horizontal="center" vertical="center" wrapText="1"/>
    </xf>
    <xf numFmtId="3" fontId="4" fillId="0" borderId="6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6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5" fillId="0" borderId="6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3" fontId="9" fillId="0" borderId="0" xfId="0" applyNumberFormat="1" applyFont="1" applyFill="1" applyAlignment="1">
      <alignment horizontal="right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</cellXfs>
  <cellStyles count="3">
    <cellStyle name="Обычный" xfId="0" builtinId="0"/>
    <cellStyle name="Обычный 7" xfId="1"/>
    <cellStyle name="Обычный 7 2" xfId="2"/>
  </cellStyles>
  <dxfs count="0"/>
  <tableStyles count="0" defaultTableStyle="TableStyleMedium2" defaultPivotStyle="PivotStyleMedium9"/>
  <colors>
    <mruColors>
      <color rgb="FF93FBAE"/>
      <color rgb="FFFFFF99"/>
      <color rgb="FFFF0066"/>
      <color rgb="FF89E2F7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="80" zoomScaleNormal="100" zoomScaleSheet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40" customWidth="1"/>
    <col min="3" max="3" width="9.7109375" customWidth="1"/>
    <col min="4" max="4" width="9.28515625" customWidth="1"/>
    <col min="5" max="6" width="12.7109375" customWidth="1"/>
    <col min="7" max="7" width="12" customWidth="1"/>
    <col min="8" max="8" width="11.5703125" customWidth="1"/>
    <col min="9" max="10" width="12.7109375" customWidth="1"/>
    <col min="11" max="11" width="15.42578125" customWidth="1"/>
    <col min="12" max="12" width="16.42578125" customWidth="1"/>
  </cols>
  <sheetData>
    <row r="1" spans="1:12" ht="49.5" customHeight="1" x14ac:dyDescent="0.2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2.5" customHeight="1" x14ac:dyDescent="0.25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customHeight="1" x14ac:dyDescent="0.25">
      <c r="A3" s="20"/>
      <c r="B3" s="20"/>
      <c r="C3" s="20"/>
      <c r="D3" s="20"/>
      <c r="E3" s="106" t="s">
        <v>19</v>
      </c>
      <c r="F3" s="107"/>
      <c r="G3" s="107"/>
      <c r="H3" s="107"/>
      <c r="I3" s="107"/>
      <c r="J3" s="20"/>
      <c r="K3" s="21"/>
      <c r="L3" s="20"/>
    </row>
    <row r="4" spans="1:12" ht="22.5" customHeight="1" x14ac:dyDescent="0.25">
      <c r="A4" s="15"/>
      <c r="B4" s="16"/>
      <c r="C4" s="16"/>
      <c r="D4" s="16"/>
      <c r="E4" s="16"/>
      <c r="F4" s="16"/>
      <c r="G4" s="16" t="s">
        <v>30</v>
      </c>
      <c r="H4" s="16"/>
      <c r="I4" s="16"/>
      <c r="J4" s="16"/>
      <c r="K4" s="16"/>
      <c r="L4" s="17" t="s">
        <v>10</v>
      </c>
    </row>
    <row r="5" spans="1:12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88.5" customHeight="1" x14ac:dyDescent="0.25">
      <c r="A6" s="18" t="s">
        <v>0</v>
      </c>
      <c r="B6" s="18" t="s">
        <v>1</v>
      </c>
      <c r="C6" s="18" t="s">
        <v>7</v>
      </c>
      <c r="D6" s="18" t="s">
        <v>14</v>
      </c>
      <c r="E6" s="18" t="s">
        <v>2</v>
      </c>
      <c r="F6" s="18" t="s">
        <v>15</v>
      </c>
      <c r="G6" s="18" t="s">
        <v>3</v>
      </c>
      <c r="H6" s="18" t="s">
        <v>4</v>
      </c>
      <c r="I6" s="18" t="s">
        <v>16</v>
      </c>
      <c r="J6" s="18" t="s">
        <v>17</v>
      </c>
      <c r="K6" s="18" t="s">
        <v>27</v>
      </c>
      <c r="L6" s="18" t="s">
        <v>26</v>
      </c>
    </row>
    <row r="7" spans="1:12" x14ac:dyDescent="0.25">
      <c r="A7" s="97">
        <v>1</v>
      </c>
      <c r="B7" s="99" t="s">
        <v>22</v>
      </c>
      <c r="C7" s="101">
        <v>5.12</v>
      </c>
      <c r="D7" s="103">
        <v>35</v>
      </c>
      <c r="E7" s="27" t="s">
        <v>20</v>
      </c>
      <c r="F7" s="22">
        <v>3</v>
      </c>
      <c r="G7" s="22">
        <f>F7/5*C7</f>
        <v>3.0720000000000001</v>
      </c>
      <c r="H7" s="95">
        <f t="shared" ref="H7" si="0">1.063*1.044*1.046</f>
        <v>1.1608215120000001</v>
      </c>
      <c r="I7" s="95">
        <f>SUM(G7:G8)*H7</f>
        <v>48.854798482636809</v>
      </c>
      <c r="J7" s="95">
        <f>SUM(G7:G8)*H7*1.18</f>
        <v>57.648662209511429</v>
      </c>
      <c r="K7" s="95">
        <f>I7*1.044</f>
        <v>51.004409615872831</v>
      </c>
      <c r="L7" s="95">
        <f>J7*1.044/1.18*1.2</f>
        <v>61.205291539047394</v>
      </c>
    </row>
    <row r="8" spans="1:12" ht="30" customHeight="1" x14ac:dyDescent="0.25">
      <c r="A8" s="109"/>
      <c r="B8" s="110"/>
      <c r="C8" s="111"/>
      <c r="D8" s="112"/>
      <c r="E8" s="27" t="s">
        <v>21</v>
      </c>
      <c r="F8" s="22">
        <v>7.62</v>
      </c>
      <c r="G8" s="22">
        <f>F8*C7</f>
        <v>39.014400000000002</v>
      </c>
      <c r="H8" s="96"/>
      <c r="I8" s="96"/>
      <c r="J8" s="96"/>
      <c r="K8" s="96"/>
      <c r="L8" s="96"/>
    </row>
    <row r="9" spans="1:12" x14ac:dyDescent="0.25">
      <c r="A9" s="97">
        <v>2</v>
      </c>
      <c r="B9" s="99" t="s">
        <v>23</v>
      </c>
      <c r="C9" s="101">
        <v>12.57</v>
      </c>
      <c r="D9" s="103">
        <v>110</v>
      </c>
      <c r="E9" s="28" t="s">
        <v>25</v>
      </c>
      <c r="F9" s="22">
        <v>21</v>
      </c>
      <c r="G9" s="22">
        <f>F9/30*C9</f>
        <v>8.7989999999999995</v>
      </c>
      <c r="H9" s="95">
        <f t="shared" ref="H9" si="1">1.063*1.044*1.046</f>
        <v>1.1608215120000001</v>
      </c>
      <c r="I9" s="95">
        <f>SUM(G9:G10)*H9</f>
        <v>146.29464374495186</v>
      </c>
      <c r="J9" s="95">
        <f>SUM(G9:G10)*H9*1.18</f>
        <v>172.62767961904319</v>
      </c>
      <c r="K9" s="95">
        <f>I9*1.044</f>
        <v>152.73160806972973</v>
      </c>
      <c r="L9" s="95">
        <f>J9*1.044/1.18*1.2</f>
        <v>183.27792968367567</v>
      </c>
    </row>
    <row r="10" spans="1:12" ht="24" customHeight="1" x14ac:dyDescent="0.25">
      <c r="A10" s="98"/>
      <c r="B10" s="100"/>
      <c r="C10" s="102"/>
      <c r="D10" s="104"/>
      <c r="E10" s="28" t="s">
        <v>24</v>
      </c>
      <c r="F10" s="22">
        <v>9.3260000000000005</v>
      </c>
      <c r="G10" s="22">
        <f>F10*C9</f>
        <v>117.22782000000001</v>
      </c>
      <c r="H10" s="105"/>
      <c r="I10" s="96"/>
      <c r="J10" s="96"/>
      <c r="K10" s="96"/>
      <c r="L10" s="96"/>
    </row>
    <row r="11" spans="1:12" ht="15.75" x14ac:dyDescent="0.25">
      <c r="A11" s="23"/>
      <c r="B11" s="23"/>
      <c r="C11" s="23"/>
      <c r="D11" s="23"/>
      <c r="E11" s="23"/>
      <c r="F11" s="23"/>
      <c r="G11" s="23"/>
      <c r="H11" s="24" t="s">
        <v>8</v>
      </c>
      <c r="I11" s="25">
        <f>I7+I9</f>
        <v>195.14944222758868</v>
      </c>
      <c r="J11" s="25">
        <f t="shared" ref="J11:L11" si="2">J7+J9</f>
        <v>230.27634182855462</v>
      </c>
      <c r="K11" s="25">
        <f t="shared" si="2"/>
        <v>203.73601768560258</v>
      </c>
      <c r="L11" s="25">
        <f t="shared" si="2"/>
        <v>244.48322122272305</v>
      </c>
    </row>
    <row r="12" spans="1:12" ht="36.75" hidden="1" customHeight="1" x14ac:dyDescent="0.25">
      <c r="A12" s="19" t="s">
        <v>28</v>
      </c>
      <c r="B12" s="19"/>
      <c r="C12" s="19"/>
      <c r="D12" s="19"/>
      <c r="E12" s="19"/>
      <c r="F12" s="19"/>
      <c r="G12" s="19"/>
      <c r="H12" s="19"/>
      <c r="I12" s="19"/>
      <c r="J12" s="19" t="s">
        <v>29</v>
      </c>
      <c r="K12" s="19"/>
    </row>
    <row r="14" spans="1:12" x14ac:dyDescent="0.25">
      <c r="J14" s="26"/>
      <c r="L14" s="26"/>
    </row>
    <row r="15" spans="1:12" x14ac:dyDescent="0.25">
      <c r="K15" s="26"/>
    </row>
  </sheetData>
  <mergeCells count="22">
    <mergeCell ref="A1:L1"/>
    <mergeCell ref="A2:L2"/>
    <mergeCell ref="E3:I3"/>
    <mergeCell ref="A5:L5"/>
    <mergeCell ref="A7:A8"/>
    <mergeCell ref="B7:B8"/>
    <mergeCell ref="C7:C8"/>
    <mergeCell ref="L7:L8"/>
    <mergeCell ref="D7:D8"/>
    <mergeCell ref="H7:H8"/>
    <mergeCell ref="I7:I8"/>
    <mergeCell ref="J7:J8"/>
    <mergeCell ref="K7:K8"/>
    <mergeCell ref="I9:I10"/>
    <mergeCell ref="J9:J10"/>
    <mergeCell ref="K9:K10"/>
    <mergeCell ref="L9:L10"/>
    <mergeCell ref="A9:A10"/>
    <mergeCell ref="B9:B10"/>
    <mergeCell ref="C9:C10"/>
    <mergeCell ref="D9:D10"/>
    <mergeCell ref="H9:H10"/>
  </mergeCells>
  <pageMargins left="0.31496062992125984" right="0.31496062992125984" top="0.35433070866141736" bottom="0.35433070866141736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35" sqref="F35"/>
    </sheetView>
  </sheetViews>
  <sheetFormatPr defaultRowHeight="15" x14ac:dyDescent="0.25"/>
  <cols>
    <col min="3" max="3" width="30" customWidth="1"/>
    <col min="4" max="4" width="10.42578125" customWidth="1"/>
    <col min="5" max="5" width="11.28515625" customWidth="1"/>
    <col min="6" max="6" width="13.28515625" customWidth="1"/>
    <col min="7" max="7" width="27.42578125" customWidth="1"/>
    <col min="8" max="8" width="19.5703125" customWidth="1"/>
    <col min="9" max="9" width="22.5703125" customWidth="1"/>
    <col min="10" max="10" width="14.85546875" customWidth="1"/>
  </cols>
  <sheetData>
    <row r="1" spans="1:11" x14ac:dyDescent="0.25">
      <c r="A1" s="5"/>
      <c r="B1" s="113" t="s">
        <v>13</v>
      </c>
      <c r="C1" s="113"/>
      <c r="D1" s="113"/>
      <c r="E1" s="113"/>
      <c r="F1" s="113"/>
      <c r="G1" s="113"/>
      <c r="H1" s="113"/>
      <c r="I1" s="113"/>
      <c r="J1" s="113"/>
      <c r="K1" s="8"/>
    </row>
    <row r="2" spans="1:11" x14ac:dyDescent="0.25">
      <c r="A2" s="5"/>
      <c r="B2" s="114"/>
      <c r="C2" s="114"/>
      <c r="D2" s="114"/>
      <c r="E2" s="114"/>
      <c r="F2" s="114"/>
      <c r="G2" s="114"/>
      <c r="H2" s="114"/>
      <c r="I2" s="114"/>
      <c r="J2" s="114"/>
      <c r="K2" s="9"/>
    </row>
    <row r="3" spans="1:11" ht="15.75" thickBot="1" x14ac:dyDescent="0.3">
      <c r="A3" s="5"/>
      <c r="B3" s="7" t="s">
        <v>0</v>
      </c>
      <c r="C3" s="7" t="s">
        <v>1</v>
      </c>
      <c r="D3" s="7" t="s">
        <v>7</v>
      </c>
      <c r="E3" s="7" t="s">
        <v>2</v>
      </c>
      <c r="F3" s="7" t="s">
        <v>9</v>
      </c>
      <c r="G3" s="7" t="s">
        <v>3</v>
      </c>
      <c r="H3" s="7" t="s">
        <v>4</v>
      </c>
      <c r="I3" s="7" t="s">
        <v>5</v>
      </c>
      <c r="J3" s="7" t="s">
        <v>6</v>
      </c>
      <c r="K3" s="5"/>
    </row>
    <row r="4" spans="1:11" ht="15.75" thickBot="1" x14ac:dyDescent="0.3">
      <c r="A4" s="5"/>
      <c r="B4" s="10">
        <v>1</v>
      </c>
      <c r="C4" s="2"/>
      <c r="D4" s="1"/>
      <c r="E4" s="2"/>
      <c r="F4" s="1"/>
      <c r="G4" s="11">
        <f>D4*F4</f>
        <v>0</v>
      </c>
      <c r="H4" s="2">
        <v>1.0756756756756756</v>
      </c>
      <c r="I4" s="11">
        <f>G4*H4</f>
        <v>0</v>
      </c>
      <c r="J4" s="11">
        <f>I4*1.18</f>
        <v>0</v>
      </c>
      <c r="K4" s="5"/>
    </row>
    <row r="5" spans="1:11" ht="15.75" thickBot="1" x14ac:dyDescent="0.3">
      <c r="A5" s="5"/>
      <c r="B5" s="10">
        <f>B4+1</f>
        <v>2</v>
      </c>
      <c r="C5" s="2"/>
      <c r="D5" s="1"/>
      <c r="E5" s="2"/>
      <c r="F5" s="1"/>
      <c r="G5" s="11">
        <f t="shared" ref="G5:G11" si="0">D5*F5</f>
        <v>0</v>
      </c>
      <c r="H5" s="2">
        <v>1.0756756756756756</v>
      </c>
      <c r="I5" s="11">
        <f t="shared" ref="I5:I11" si="1">G5*H5</f>
        <v>0</v>
      </c>
      <c r="J5" s="11">
        <f t="shared" ref="J5:J11" si="2">I5*1.18</f>
        <v>0</v>
      </c>
      <c r="K5" s="5"/>
    </row>
    <row r="6" spans="1:11" ht="15.75" thickBot="1" x14ac:dyDescent="0.3">
      <c r="A6" s="5"/>
      <c r="B6" s="10">
        <f t="shared" ref="B6:B11" si="3">B5+1</f>
        <v>3</v>
      </c>
      <c r="C6" s="2"/>
      <c r="D6" s="1"/>
      <c r="E6" s="2"/>
      <c r="F6" s="1"/>
      <c r="G6" s="11">
        <f t="shared" si="0"/>
        <v>0</v>
      </c>
      <c r="H6" s="2">
        <v>1.0756756756756756</v>
      </c>
      <c r="I6" s="11">
        <f t="shared" si="1"/>
        <v>0</v>
      </c>
      <c r="J6" s="11">
        <f t="shared" si="2"/>
        <v>0</v>
      </c>
      <c r="K6" s="5"/>
    </row>
    <row r="7" spans="1:11" ht="15.75" thickBot="1" x14ac:dyDescent="0.3">
      <c r="A7" s="5"/>
      <c r="B7" s="10">
        <f t="shared" si="3"/>
        <v>4</v>
      </c>
      <c r="C7" s="2"/>
      <c r="D7" s="1"/>
      <c r="E7" s="2"/>
      <c r="F7" s="1"/>
      <c r="G7" s="11">
        <f t="shared" si="0"/>
        <v>0</v>
      </c>
      <c r="H7" s="2">
        <v>1.0756756756756756</v>
      </c>
      <c r="I7" s="11">
        <f t="shared" si="1"/>
        <v>0</v>
      </c>
      <c r="J7" s="11">
        <f t="shared" si="2"/>
        <v>0</v>
      </c>
      <c r="K7" s="5"/>
    </row>
    <row r="8" spans="1:11" ht="15.75" thickBot="1" x14ac:dyDescent="0.3">
      <c r="A8" s="5"/>
      <c r="B8" s="10">
        <f t="shared" si="3"/>
        <v>5</v>
      </c>
      <c r="C8" s="2"/>
      <c r="D8" s="1"/>
      <c r="E8" s="2"/>
      <c r="F8" s="1"/>
      <c r="G8" s="11">
        <f t="shared" si="0"/>
        <v>0</v>
      </c>
      <c r="H8" s="2">
        <v>1.0756756756756756</v>
      </c>
      <c r="I8" s="11">
        <f t="shared" si="1"/>
        <v>0</v>
      </c>
      <c r="J8" s="11">
        <f t="shared" si="2"/>
        <v>0</v>
      </c>
      <c r="K8" s="5"/>
    </row>
    <row r="9" spans="1:11" ht="15.75" thickBot="1" x14ac:dyDescent="0.3">
      <c r="A9" s="5"/>
      <c r="B9" s="10">
        <f t="shared" si="3"/>
        <v>6</v>
      </c>
      <c r="C9" s="2"/>
      <c r="D9" s="1"/>
      <c r="E9" s="2"/>
      <c r="F9" s="1"/>
      <c r="G9" s="11">
        <f t="shared" si="0"/>
        <v>0</v>
      </c>
      <c r="H9" s="2">
        <v>1.0756756756756756</v>
      </c>
      <c r="I9" s="11">
        <f t="shared" si="1"/>
        <v>0</v>
      </c>
      <c r="J9" s="11">
        <f t="shared" si="2"/>
        <v>0</v>
      </c>
      <c r="K9" s="5"/>
    </row>
    <row r="10" spans="1:11" ht="15.75" thickBot="1" x14ac:dyDescent="0.3">
      <c r="A10" s="5"/>
      <c r="B10" s="10">
        <f t="shared" si="3"/>
        <v>7</v>
      </c>
      <c r="C10" s="2"/>
      <c r="D10" s="1"/>
      <c r="E10" s="2"/>
      <c r="F10" s="1"/>
      <c r="G10" s="11">
        <f t="shared" si="0"/>
        <v>0</v>
      </c>
      <c r="H10" s="2">
        <v>1.0756756756756756</v>
      </c>
      <c r="I10" s="11">
        <f t="shared" si="1"/>
        <v>0</v>
      </c>
      <c r="J10" s="11">
        <f t="shared" si="2"/>
        <v>0</v>
      </c>
      <c r="K10" s="5"/>
    </row>
    <row r="11" spans="1:11" ht="15.75" thickBot="1" x14ac:dyDescent="0.3">
      <c r="A11" s="5"/>
      <c r="B11" s="10">
        <f t="shared" si="3"/>
        <v>8</v>
      </c>
      <c r="C11" s="2"/>
      <c r="D11" s="1"/>
      <c r="E11" s="2"/>
      <c r="F11" s="1"/>
      <c r="G11" s="11">
        <f t="shared" si="0"/>
        <v>0</v>
      </c>
      <c r="H11" s="2">
        <v>1.0756756756756756</v>
      </c>
      <c r="I11" s="11">
        <f t="shared" si="1"/>
        <v>0</v>
      </c>
      <c r="J11" s="11">
        <f t="shared" si="2"/>
        <v>0</v>
      </c>
      <c r="K11" s="5"/>
    </row>
    <row r="12" spans="1:11" ht="16.5" thickBot="1" x14ac:dyDescent="0.3">
      <c r="A12" s="5"/>
      <c r="B12" s="115"/>
      <c r="C12" s="115"/>
      <c r="D12" s="115"/>
      <c r="E12" s="115"/>
      <c r="F12" s="115"/>
      <c r="G12" s="115"/>
      <c r="H12" s="115"/>
      <c r="I12" s="6" t="s">
        <v>8</v>
      </c>
      <c r="J12" s="12">
        <f>J4+J5+J6+J7+J8+J9+J10+J11</f>
        <v>0</v>
      </c>
      <c r="K12" s="7" t="s">
        <v>10</v>
      </c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1:11" x14ac:dyDescent="0.25">
      <c r="A15" s="14"/>
      <c r="B15" s="4" t="s">
        <v>11</v>
      </c>
    </row>
    <row r="17" spans="1:2" x14ac:dyDescent="0.25">
      <c r="A17" s="13"/>
      <c r="B17" s="3" t="s">
        <v>12</v>
      </c>
    </row>
  </sheetData>
  <mergeCells count="3">
    <mergeCell ref="B1:J1"/>
    <mergeCell ref="B2:J2"/>
    <mergeCell ref="B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1"/>
  <sheetViews>
    <sheetView tabSelected="1" view="pageBreakPreview" zoomScale="6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45" sqref="O45:O57"/>
    </sheetView>
  </sheetViews>
  <sheetFormatPr defaultRowHeight="15" x14ac:dyDescent="0.25"/>
  <cols>
    <col min="1" max="1" width="7" style="31" customWidth="1"/>
    <col min="2" max="2" width="34" style="63" customWidth="1"/>
    <col min="3" max="3" width="14" style="31" customWidth="1"/>
    <col min="4" max="4" width="11.42578125" style="31" customWidth="1"/>
    <col min="5" max="5" width="13" style="31" customWidth="1"/>
    <col min="6" max="6" width="11.7109375" style="31" customWidth="1"/>
    <col min="7" max="7" width="23.140625" style="31" customWidth="1"/>
    <col min="8" max="8" width="14.5703125" style="31" customWidth="1"/>
    <col min="9" max="9" width="13.7109375" style="31" customWidth="1"/>
    <col min="10" max="10" width="11.5703125" style="31" customWidth="1"/>
    <col min="11" max="11" width="10.85546875" style="31" customWidth="1"/>
    <col min="12" max="12" width="13.5703125" style="31" customWidth="1"/>
    <col min="13" max="13" width="19.140625" style="31" customWidth="1"/>
    <col min="14" max="14" width="12.5703125" style="31" bestFit="1" customWidth="1"/>
    <col min="15" max="15" width="19.7109375" style="31" customWidth="1"/>
    <col min="16" max="16" width="15.140625" style="31" customWidth="1"/>
    <col min="17" max="17" width="15.85546875" style="31" customWidth="1"/>
    <col min="18" max="23" width="6.85546875" style="31" customWidth="1"/>
    <col min="24" max="24" width="10.28515625" style="42" customWidth="1"/>
    <col min="25" max="25" width="13.140625" style="42" customWidth="1"/>
    <col min="26" max="29" width="14.140625" style="42" customWidth="1"/>
    <col min="30" max="30" width="19.28515625" style="42" customWidth="1"/>
    <col min="31" max="31" width="14.85546875" style="42" customWidth="1"/>
    <col min="32" max="32" width="17.28515625" style="42" customWidth="1"/>
    <col min="33" max="38" width="7" style="31" customWidth="1"/>
    <col min="39" max="39" width="11.140625" style="42" customWidth="1"/>
    <col min="40" max="40" width="12.28515625" style="42" customWidth="1"/>
    <col min="41" max="41" width="14.7109375" style="42" customWidth="1"/>
    <col min="42" max="44" width="14.5703125" style="42" customWidth="1"/>
    <col min="45" max="45" width="23.28515625" style="42" customWidth="1"/>
    <col min="46" max="46" width="19" style="42" customWidth="1"/>
    <col min="47" max="48" width="8.85546875" style="36" customWidth="1"/>
    <col min="49" max="49" width="11.85546875" style="42" customWidth="1"/>
    <col min="50" max="50" width="13.140625" style="42" customWidth="1"/>
    <col min="51" max="51" width="8" style="42" bestFit="1" customWidth="1"/>
    <col min="52" max="52" width="18" style="69" customWidth="1"/>
    <col min="53" max="53" width="0" style="31" hidden="1" customWidth="1"/>
    <col min="54" max="16384" width="9.140625" style="31"/>
  </cols>
  <sheetData>
    <row r="1" spans="1:54" s="55" customFormat="1" ht="66.75" customHeight="1" x14ac:dyDescent="0.3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</row>
    <row r="2" spans="1:54" s="55" customFormat="1" ht="18.75" x14ac:dyDescent="0.3">
      <c r="A2" s="141" t="s">
        <v>214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1:54" s="55" customFormat="1" ht="18.75" x14ac:dyDescent="0.3">
      <c r="A3" s="141" t="s">
        <v>234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1:54" x14ac:dyDescent="0.25">
      <c r="A4" s="15"/>
      <c r="B4" s="62"/>
      <c r="C4" s="16"/>
      <c r="D4" s="16"/>
      <c r="E4" s="16"/>
      <c r="F4" s="16"/>
      <c r="G4" s="16"/>
      <c r="H4" s="16"/>
      <c r="I4" s="16"/>
      <c r="J4" s="16"/>
      <c r="K4" s="16"/>
      <c r="L4" s="33"/>
      <c r="M4" s="32"/>
      <c r="N4" s="32"/>
      <c r="O4" s="17"/>
      <c r="P4" s="17"/>
      <c r="Q4" s="17"/>
      <c r="R4" s="34"/>
      <c r="S4" s="34"/>
      <c r="T4" s="34"/>
      <c r="U4" s="34"/>
      <c r="V4" s="34"/>
      <c r="W4" s="34"/>
      <c r="X4" s="157"/>
      <c r="Y4" s="157"/>
      <c r="Z4" s="157"/>
      <c r="AA4" s="92"/>
      <c r="AB4" s="92"/>
      <c r="AC4" s="92"/>
      <c r="AD4" s="92"/>
      <c r="AE4" s="92"/>
      <c r="AF4" s="92"/>
      <c r="AG4" s="70"/>
      <c r="AH4" s="70"/>
      <c r="AI4" s="70"/>
      <c r="AJ4" s="70"/>
      <c r="AK4" s="70"/>
      <c r="AL4" s="70"/>
      <c r="AM4" s="92"/>
      <c r="AN4" s="92"/>
      <c r="AO4" s="92"/>
      <c r="AP4" s="92"/>
      <c r="AQ4" s="92"/>
      <c r="AR4" s="92"/>
      <c r="AS4" s="92"/>
      <c r="AT4" s="43"/>
      <c r="AU4" s="45"/>
      <c r="AV4" s="45"/>
      <c r="AW4" s="158"/>
      <c r="AX4" s="158"/>
      <c r="AY4" s="158"/>
      <c r="AZ4" s="65"/>
    </row>
    <row r="5" spans="1:54" ht="31.5" customHeight="1" x14ac:dyDescent="0.25">
      <c r="A5" s="130" t="s">
        <v>0</v>
      </c>
      <c r="B5" s="130" t="s">
        <v>32</v>
      </c>
      <c r="C5" s="130" t="s">
        <v>14</v>
      </c>
      <c r="D5" s="130" t="s">
        <v>2</v>
      </c>
      <c r="E5" s="130" t="s">
        <v>78</v>
      </c>
      <c r="F5" s="130" t="s">
        <v>77</v>
      </c>
      <c r="G5" s="130" t="s">
        <v>76</v>
      </c>
      <c r="H5" s="142" t="s">
        <v>79</v>
      </c>
      <c r="I5" s="142" t="s">
        <v>80</v>
      </c>
      <c r="J5" s="136" t="s">
        <v>35</v>
      </c>
      <c r="K5" s="136"/>
      <c r="L5" s="142" t="s">
        <v>181</v>
      </c>
      <c r="M5" s="121" t="s">
        <v>179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 t="s">
        <v>180</v>
      </c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53" t="s">
        <v>213</v>
      </c>
      <c r="AT5" s="154"/>
      <c r="AU5" s="154"/>
      <c r="AV5" s="154"/>
      <c r="AW5" s="154"/>
      <c r="AX5" s="154"/>
      <c r="AY5" s="155"/>
      <c r="AZ5" s="146" t="s">
        <v>156</v>
      </c>
    </row>
    <row r="6" spans="1:54" ht="135" customHeight="1" x14ac:dyDescent="0.25">
      <c r="A6" s="131"/>
      <c r="B6" s="131"/>
      <c r="C6" s="131"/>
      <c r="D6" s="131"/>
      <c r="E6" s="131"/>
      <c r="F6" s="131"/>
      <c r="G6" s="131"/>
      <c r="H6" s="156"/>
      <c r="I6" s="156"/>
      <c r="J6" s="136"/>
      <c r="K6" s="136"/>
      <c r="L6" s="156"/>
      <c r="M6" s="142" t="s">
        <v>83</v>
      </c>
      <c r="N6" s="142" t="s">
        <v>82</v>
      </c>
      <c r="O6" s="142" t="s">
        <v>84</v>
      </c>
      <c r="P6" s="142" t="s">
        <v>16</v>
      </c>
      <c r="Q6" s="144" t="s">
        <v>85</v>
      </c>
      <c r="R6" s="133" t="s">
        <v>182</v>
      </c>
      <c r="S6" s="134"/>
      <c r="T6" s="134"/>
      <c r="U6" s="134"/>
      <c r="V6" s="134"/>
      <c r="W6" s="135"/>
      <c r="X6" s="137" t="s">
        <v>154</v>
      </c>
      <c r="Y6" s="137"/>
      <c r="Z6" s="137"/>
      <c r="AA6" s="137"/>
      <c r="AB6" s="137"/>
      <c r="AC6" s="137"/>
      <c r="AD6" s="146" t="s">
        <v>84</v>
      </c>
      <c r="AE6" s="146" t="s">
        <v>16</v>
      </c>
      <c r="AF6" s="148" t="s">
        <v>85</v>
      </c>
      <c r="AG6" s="136" t="s">
        <v>266</v>
      </c>
      <c r="AH6" s="136"/>
      <c r="AI6" s="136"/>
      <c r="AJ6" s="136"/>
      <c r="AK6" s="136"/>
      <c r="AL6" s="136"/>
      <c r="AM6" s="137" t="s">
        <v>154</v>
      </c>
      <c r="AN6" s="137"/>
      <c r="AO6" s="137"/>
      <c r="AP6" s="137"/>
      <c r="AQ6" s="137"/>
      <c r="AR6" s="137"/>
      <c r="AS6" s="146" t="s">
        <v>86</v>
      </c>
      <c r="AT6" s="146" t="s">
        <v>155</v>
      </c>
      <c r="AU6" s="151" t="s">
        <v>265</v>
      </c>
      <c r="AV6" s="152"/>
      <c r="AW6" s="137" t="s">
        <v>154</v>
      </c>
      <c r="AX6" s="137"/>
      <c r="AY6" s="137"/>
      <c r="AZ6" s="150"/>
      <c r="BB6" s="37"/>
    </row>
    <row r="7" spans="1:54" ht="24" customHeight="1" x14ac:dyDescent="0.25">
      <c r="A7" s="132"/>
      <c r="B7" s="132"/>
      <c r="C7" s="132"/>
      <c r="D7" s="132"/>
      <c r="E7" s="132"/>
      <c r="F7" s="132"/>
      <c r="G7" s="132"/>
      <c r="H7" s="143"/>
      <c r="I7" s="143"/>
      <c r="J7" s="56" t="s">
        <v>229</v>
      </c>
      <c r="K7" s="18" t="s">
        <v>230</v>
      </c>
      <c r="L7" s="143"/>
      <c r="M7" s="143"/>
      <c r="N7" s="143"/>
      <c r="O7" s="143"/>
      <c r="P7" s="143"/>
      <c r="Q7" s="145"/>
      <c r="R7" s="35">
        <v>2019</v>
      </c>
      <c r="S7" s="35">
        <v>2020</v>
      </c>
      <c r="T7" s="35">
        <v>2021</v>
      </c>
      <c r="U7" s="35">
        <v>2022</v>
      </c>
      <c r="V7" s="35">
        <v>2023</v>
      </c>
      <c r="W7" s="35">
        <v>2024</v>
      </c>
      <c r="X7" s="40">
        <v>2019</v>
      </c>
      <c r="Y7" s="40">
        <v>2020</v>
      </c>
      <c r="Z7" s="40">
        <v>2021</v>
      </c>
      <c r="AA7" s="40">
        <v>2022</v>
      </c>
      <c r="AB7" s="40">
        <v>2023</v>
      </c>
      <c r="AC7" s="40">
        <v>2024</v>
      </c>
      <c r="AD7" s="147"/>
      <c r="AE7" s="147"/>
      <c r="AF7" s="149"/>
      <c r="AG7" s="90">
        <v>2019</v>
      </c>
      <c r="AH7" s="90">
        <v>2020</v>
      </c>
      <c r="AI7" s="90">
        <v>2021</v>
      </c>
      <c r="AJ7" s="90">
        <v>2022</v>
      </c>
      <c r="AK7" s="90">
        <v>2023</v>
      </c>
      <c r="AL7" s="90">
        <v>2024</v>
      </c>
      <c r="AM7" s="40">
        <v>2019</v>
      </c>
      <c r="AN7" s="40">
        <v>2020</v>
      </c>
      <c r="AO7" s="40">
        <v>2021</v>
      </c>
      <c r="AP7" s="40">
        <v>2022</v>
      </c>
      <c r="AQ7" s="40">
        <v>2023</v>
      </c>
      <c r="AR7" s="40">
        <v>2024</v>
      </c>
      <c r="AS7" s="147"/>
      <c r="AT7" s="147"/>
      <c r="AU7" s="40">
        <v>2019</v>
      </c>
      <c r="AV7" s="40">
        <v>2020</v>
      </c>
      <c r="AW7" s="40">
        <v>2019</v>
      </c>
      <c r="AX7" s="40">
        <v>2020</v>
      </c>
      <c r="AY7" s="40">
        <v>2021</v>
      </c>
      <c r="AZ7" s="147"/>
    </row>
    <row r="8" spans="1:54" s="39" customFormat="1" ht="24" customHeight="1" x14ac:dyDescent="0.25">
      <c r="A8" s="89">
        <v>1</v>
      </c>
      <c r="B8" s="89">
        <v>2</v>
      </c>
      <c r="C8" s="89">
        <v>3</v>
      </c>
      <c r="D8" s="89">
        <v>4</v>
      </c>
      <c r="E8" s="38">
        <v>5</v>
      </c>
      <c r="F8" s="89">
        <f>E8+1</f>
        <v>6</v>
      </c>
      <c r="G8" s="89">
        <f t="shared" ref="G8:AZ8" si="0">F8+1</f>
        <v>7</v>
      </c>
      <c r="H8" s="89">
        <f t="shared" si="0"/>
        <v>8</v>
      </c>
      <c r="I8" s="89">
        <f t="shared" si="0"/>
        <v>9</v>
      </c>
      <c r="J8" s="89">
        <f t="shared" si="0"/>
        <v>10</v>
      </c>
      <c r="K8" s="89">
        <f t="shared" si="0"/>
        <v>11</v>
      </c>
      <c r="L8" s="89">
        <f t="shared" si="0"/>
        <v>12</v>
      </c>
      <c r="M8" s="89">
        <f t="shared" si="0"/>
        <v>13</v>
      </c>
      <c r="N8" s="89">
        <f t="shared" si="0"/>
        <v>14</v>
      </c>
      <c r="O8" s="89">
        <f t="shared" si="0"/>
        <v>15</v>
      </c>
      <c r="P8" s="89">
        <f t="shared" si="0"/>
        <v>16</v>
      </c>
      <c r="Q8" s="89">
        <f t="shared" si="0"/>
        <v>17</v>
      </c>
      <c r="R8" s="89">
        <f t="shared" si="0"/>
        <v>18</v>
      </c>
      <c r="S8" s="89">
        <f t="shared" si="0"/>
        <v>19</v>
      </c>
      <c r="T8" s="89">
        <f t="shared" si="0"/>
        <v>20</v>
      </c>
      <c r="U8" s="89">
        <f t="shared" si="0"/>
        <v>21</v>
      </c>
      <c r="V8" s="89">
        <f t="shared" si="0"/>
        <v>22</v>
      </c>
      <c r="W8" s="89">
        <f t="shared" si="0"/>
        <v>23</v>
      </c>
      <c r="X8" s="41">
        <f t="shared" si="0"/>
        <v>24</v>
      </c>
      <c r="Y8" s="41">
        <f t="shared" si="0"/>
        <v>25</v>
      </c>
      <c r="Z8" s="41">
        <f t="shared" si="0"/>
        <v>26</v>
      </c>
      <c r="AA8" s="41">
        <f t="shared" si="0"/>
        <v>27</v>
      </c>
      <c r="AB8" s="41">
        <f t="shared" si="0"/>
        <v>28</v>
      </c>
      <c r="AC8" s="41">
        <f t="shared" si="0"/>
        <v>29</v>
      </c>
      <c r="AD8" s="41">
        <f t="shared" si="0"/>
        <v>30</v>
      </c>
      <c r="AE8" s="41">
        <f t="shared" si="0"/>
        <v>31</v>
      </c>
      <c r="AF8" s="41">
        <f t="shared" si="0"/>
        <v>32</v>
      </c>
      <c r="AG8" s="89">
        <f t="shared" si="0"/>
        <v>33</v>
      </c>
      <c r="AH8" s="89">
        <f t="shared" si="0"/>
        <v>34</v>
      </c>
      <c r="AI8" s="89">
        <f t="shared" si="0"/>
        <v>35</v>
      </c>
      <c r="AJ8" s="89">
        <f t="shared" si="0"/>
        <v>36</v>
      </c>
      <c r="AK8" s="89">
        <f t="shared" si="0"/>
        <v>37</v>
      </c>
      <c r="AL8" s="89">
        <f t="shared" si="0"/>
        <v>38</v>
      </c>
      <c r="AM8" s="41">
        <f t="shared" si="0"/>
        <v>39</v>
      </c>
      <c r="AN8" s="41">
        <f t="shared" si="0"/>
        <v>40</v>
      </c>
      <c r="AO8" s="41">
        <f t="shared" si="0"/>
        <v>41</v>
      </c>
      <c r="AP8" s="41">
        <f t="shared" si="0"/>
        <v>42</v>
      </c>
      <c r="AQ8" s="41">
        <f t="shared" si="0"/>
        <v>43</v>
      </c>
      <c r="AR8" s="41">
        <f t="shared" si="0"/>
        <v>44</v>
      </c>
      <c r="AS8" s="41">
        <f t="shared" si="0"/>
        <v>45</v>
      </c>
      <c r="AT8" s="41">
        <f t="shared" si="0"/>
        <v>46</v>
      </c>
      <c r="AU8" s="41">
        <f t="shared" si="0"/>
        <v>47</v>
      </c>
      <c r="AV8" s="41">
        <f t="shared" si="0"/>
        <v>48</v>
      </c>
      <c r="AW8" s="41">
        <f t="shared" si="0"/>
        <v>49</v>
      </c>
      <c r="AX8" s="41">
        <f t="shared" si="0"/>
        <v>50</v>
      </c>
      <c r="AY8" s="41">
        <f t="shared" si="0"/>
        <v>51</v>
      </c>
      <c r="AZ8" s="66">
        <f t="shared" si="0"/>
        <v>52</v>
      </c>
    </row>
    <row r="9" spans="1:54" ht="31.5" customHeight="1" x14ac:dyDescent="0.25">
      <c r="A9" s="138">
        <v>1</v>
      </c>
      <c r="B9" s="139" t="s">
        <v>81</v>
      </c>
      <c r="C9" s="140">
        <v>6</v>
      </c>
      <c r="D9" s="77" t="s">
        <v>38</v>
      </c>
      <c r="E9" s="77" t="s">
        <v>37</v>
      </c>
      <c r="F9" s="77">
        <v>2</v>
      </c>
      <c r="G9" s="89" t="s">
        <v>39</v>
      </c>
      <c r="H9" s="79">
        <v>1663</v>
      </c>
      <c r="I9" s="79">
        <f>F9*H9</f>
        <v>3326</v>
      </c>
      <c r="J9" s="79" t="s">
        <v>54</v>
      </c>
      <c r="K9" s="30">
        <v>1.1000000000000001</v>
      </c>
      <c r="L9" s="79">
        <f>I9*K9</f>
        <v>3658.6000000000004</v>
      </c>
      <c r="M9" s="127">
        <f>L14+L13+L12+L11+L10+L9</f>
        <v>8109.5650000000005</v>
      </c>
      <c r="N9" s="127">
        <f>M9*0.2</f>
        <v>1621.9130000000002</v>
      </c>
      <c r="O9" s="127">
        <f>M9*1.2</f>
        <v>9731.478000000001</v>
      </c>
      <c r="P9" s="127">
        <f>O9*1.04*1.051</f>
        <v>10636.89471312</v>
      </c>
      <c r="Q9" s="127">
        <f>P9</f>
        <v>10636.89471312</v>
      </c>
      <c r="R9" s="124">
        <v>1.0509999999999999</v>
      </c>
      <c r="S9" s="124">
        <v>1.04</v>
      </c>
      <c r="T9" s="124">
        <v>1.0409999999999999</v>
      </c>
      <c r="U9" s="124">
        <v>1.0409999999999999</v>
      </c>
      <c r="V9" s="124">
        <v>1.0409999999999999</v>
      </c>
      <c r="W9" s="124">
        <v>1.042</v>
      </c>
      <c r="X9" s="124">
        <v>0</v>
      </c>
      <c r="Y9" s="127">
        <f>Q9</f>
        <v>10636.89471312</v>
      </c>
      <c r="Z9" s="124">
        <v>0</v>
      </c>
      <c r="AA9" s="124">
        <v>0</v>
      </c>
      <c r="AB9" s="124">
        <v>0</v>
      </c>
      <c r="AC9" s="124">
        <v>0</v>
      </c>
      <c r="AD9" s="127">
        <f>O9</f>
        <v>9731.478000000001</v>
      </c>
      <c r="AE9" s="127">
        <f>AD9*AG9*AH9</f>
        <v>11099.607029064004</v>
      </c>
      <c r="AF9" s="127">
        <f>AM9+AN9+AO9+AP9+AQ9+AR9</f>
        <v>11099.607029064004</v>
      </c>
      <c r="AG9" s="124">
        <f>AU9</f>
        <v>1.0740000000000001</v>
      </c>
      <c r="AH9" s="124">
        <f>AV9</f>
        <v>1.0620000000000001</v>
      </c>
      <c r="AI9" s="124">
        <v>1.0509999999999999</v>
      </c>
      <c r="AJ9" s="124">
        <v>1.048</v>
      </c>
      <c r="AK9" s="124">
        <v>1.0469999999999999</v>
      </c>
      <c r="AL9" s="124">
        <v>1.0469999999999999</v>
      </c>
      <c r="AM9" s="127">
        <v>0</v>
      </c>
      <c r="AN9" s="127">
        <f>AD9*AG9*AH9</f>
        <v>11099.607029064004</v>
      </c>
      <c r="AO9" s="127">
        <v>0</v>
      </c>
      <c r="AP9" s="127">
        <v>0</v>
      </c>
      <c r="AQ9" s="127">
        <v>0</v>
      </c>
      <c r="AR9" s="127">
        <v>0</v>
      </c>
      <c r="AS9" s="127">
        <f>AD9</f>
        <v>9731.478000000001</v>
      </c>
      <c r="AT9" s="127">
        <f>AX9+AW9</f>
        <v>11099.607029064004</v>
      </c>
      <c r="AU9" s="159">
        <v>1.0740000000000001</v>
      </c>
      <c r="AV9" s="159">
        <v>1.0620000000000001</v>
      </c>
      <c r="AW9" s="124">
        <v>0</v>
      </c>
      <c r="AX9" s="127">
        <f>AD9*AU9*AV9</f>
        <v>11099.607029064004</v>
      </c>
      <c r="AY9" s="127">
        <f>AS9-AD9</f>
        <v>0</v>
      </c>
      <c r="AZ9" s="175">
        <f>AS9-O9</f>
        <v>0</v>
      </c>
      <c r="BA9" s="31">
        <f t="shared" ref="BA9:BA37" si="1">Q9/1.2</f>
        <v>8864.0789276000014</v>
      </c>
    </row>
    <row r="10" spans="1:54" ht="96.75" customHeight="1" x14ac:dyDescent="0.25">
      <c r="A10" s="138"/>
      <c r="B10" s="139"/>
      <c r="C10" s="140"/>
      <c r="D10" s="77" t="s">
        <v>42</v>
      </c>
      <c r="E10" s="77" t="s">
        <v>34</v>
      </c>
      <c r="F10" s="77">
        <v>2.5</v>
      </c>
      <c r="G10" s="29" t="s">
        <v>43</v>
      </c>
      <c r="H10" s="79">
        <v>699</v>
      </c>
      <c r="I10" s="79">
        <f>F10*H10</f>
        <v>1747.5</v>
      </c>
      <c r="J10" s="79" t="s">
        <v>55</v>
      </c>
      <c r="K10" s="30">
        <v>1.05</v>
      </c>
      <c r="L10" s="79">
        <f t="shared" ref="L10:L12" si="2">I10*K10</f>
        <v>1834.875</v>
      </c>
      <c r="M10" s="128"/>
      <c r="N10" s="128"/>
      <c r="O10" s="128"/>
      <c r="P10" s="128"/>
      <c r="Q10" s="128"/>
      <c r="R10" s="125"/>
      <c r="S10" s="125"/>
      <c r="T10" s="125"/>
      <c r="U10" s="125"/>
      <c r="V10" s="125"/>
      <c r="W10" s="125"/>
      <c r="X10" s="125"/>
      <c r="Y10" s="128"/>
      <c r="Z10" s="125"/>
      <c r="AA10" s="125"/>
      <c r="AB10" s="125"/>
      <c r="AC10" s="125"/>
      <c r="AD10" s="128"/>
      <c r="AE10" s="128"/>
      <c r="AF10" s="128"/>
      <c r="AG10" s="125"/>
      <c r="AH10" s="125"/>
      <c r="AI10" s="125"/>
      <c r="AJ10" s="125"/>
      <c r="AK10" s="125"/>
      <c r="AL10" s="125"/>
      <c r="AM10" s="128"/>
      <c r="AN10" s="128"/>
      <c r="AO10" s="128"/>
      <c r="AP10" s="128"/>
      <c r="AQ10" s="128"/>
      <c r="AR10" s="128"/>
      <c r="AS10" s="128"/>
      <c r="AT10" s="128"/>
      <c r="AU10" s="160"/>
      <c r="AV10" s="160"/>
      <c r="AW10" s="125"/>
      <c r="AX10" s="128"/>
      <c r="AY10" s="128"/>
      <c r="AZ10" s="176"/>
      <c r="BA10" s="31">
        <f t="shared" si="1"/>
        <v>0</v>
      </c>
    </row>
    <row r="11" spans="1:54" ht="69.75" customHeight="1" x14ac:dyDescent="0.25">
      <c r="A11" s="138"/>
      <c r="B11" s="139"/>
      <c r="C11" s="140"/>
      <c r="D11" s="77" t="s">
        <v>44</v>
      </c>
      <c r="E11" s="77" t="s">
        <v>45</v>
      </c>
      <c r="F11" s="77">
        <v>49.9</v>
      </c>
      <c r="G11" s="29" t="s">
        <v>46</v>
      </c>
      <c r="H11" s="79">
        <v>17</v>
      </c>
      <c r="I11" s="79">
        <f t="shared" ref="I11:I37" si="3">F11*H11</f>
        <v>848.3</v>
      </c>
      <c r="J11" s="79" t="s">
        <v>55</v>
      </c>
      <c r="K11" s="30">
        <v>1.05</v>
      </c>
      <c r="L11" s="79">
        <f t="shared" si="2"/>
        <v>890.71500000000003</v>
      </c>
      <c r="M11" s="128"/>
      <c r="N11" s="128"/>
      <c r="O11" s="128"/>
      <c r="P11" s="128"/>
      <c r="Q11" s="128"/>
      <c r="R11" s="125"/>
      <c r="S11" s="125"/>
      <c r="T11" s="125"/>
      <c r="U11" s="125"/>
      <c r="V11" s="125"/>
      <c r="W11" s="125"/>
      <c r="X11" s="125"/>
      <c r="Y11" s="128"/>
      <c r="Z11" s="125"/>
      <c r="AA11" s="125"/>
      <c r="AB11" s="125"/>
      <c r="AC11" s="125"/>
      <c r="AD11" s="128"/>
      <c r="AE11" s="128"/>
      <c r="AF11" s="128"/>
      <c r="AG11" s="125"/>
      <c r="AH11" s="125"/>
      <c r="AI11" s="125"/>
      <c r="AJ11" s="125"/>
      <c r="AK11" s="125"/>
      <c r="AL11" s="125"/>
      <c r="AM11" s="128"/>
      <c r="AN11" s="128"/>
      <c r="AO11" s="128"/>
      <c r="AP11" s="128"/>
      <c r="AQ11" s="128"/>
      <c r="AR11" s="128"/>
      <c r="AS11" s="128"/>
      <c r="AT11" s="128"/>
      <c r="AU11" s="160"/>
      <c r="AV11" s="160"/>
      <c r="AW11" s="125"/>
      <c r="AX11" s="128"/>
      <c r="AY11" s="128"/>
      <c r="AZ11" s="176"/>
      <c r="BA11" s="31">
        <f t="shared" si="1"/>
        <v>0</v>
      </c>
    </row>
    <row r="12" spans="1:54" ht="81.75" customHeight="1" x14ac:dyDescent="0.25">
      <c r="A12" s="138"/>
      <c r="B12" s="139"/>
      <c r="C12" s="140"/>
      <c r="D12" s="77" t="s">
        <v>47</v>
      </c>
      <c r="E12" s="77" t="s">
        <v>34</v>
      </c>
      <c r="F12" s="77">
        <v>2.5</v>
      </c>
      <c r="G12" s="29" t="s">
        <v>50</v>
      </c>
      <c r="H12" s="79">
        <v>449</v>
      </c>
      <c r="I12" s="79">
        <f t="shared" si="3"/>
        <v>1122.5</v>
      </c>
      <c r="J12" s="79" t="s">
        <v>55</v>
      </c>
      <c r="K12" s="30">
        <v>1.05</v>
      </c>
      <c r="L12" s="79">
        <f t="shared" si="2"/>
        <v>1178.625</v>
      </c>
      <c r="M12" s="128"/>
      <c r="N12" s="128"/>
      <c r="O12" s="128"/>
      <c r="P12" s="128"/>
      <c r="Q12" s="128"/>
      <c r="R12" s="125"/>
      <c r="S12" s="125"/>
      <c r="T12" s="125"/>
      <c r="U12" s="125"/>
      <c r="V12" s="125"/>
      <c r="W12" s="125"/>
      <c r="X12" s="125"/>
      <c r="Y12" s="128"/>
      <c r="Z12" s="125"/>
      <c r="AA12" s="125"/>
      <c r="AB12" s="125"/>
      <c r="AC12" s="125"/>
      <c r="AD12" s="128"/>
      <c r="AE12" s="128"/>
      <c r="AF12" s="128"/>
      <c r="AG12" s="125"/>
      <c r="AH12" s="125"/>
      <c r="AI12" s="125"/>
      <c r="AJ12" s="125"/>
      <c r="AK12" s="125"/>
      <c r="AL12" s="125"/>
      <c r="AM12" s="128"/>
      <c r="AN12" s="128"/>
      <c r="AO12" s="128"/>
      <c r="AP12" s="128"/>
      <c r="AQ12" s="128"/>
      <c r="AR12" s="128"/>
      <c r="AS12" s="128"/>
      <c r="AT12" s="128"/>
      <c r="AU12" s="160"/>
      <c r="AV12" s="160"/>
      <c r="AW12" s="125"/>
      <c r="AX12" s="128"/>
      <c r="AY12" s="128"/>
      <c r="AZ12" s="176"/>
      <c r="BA12" s="31">
        <f t="shared" si="1"/>
        <v>0</v>
      </c>
    </row>
    <row r="13" spans="1:54" ht="79.5" customHeight="1" x14ac:dyDescent="0.25">
      <c r="A13" s="138"/>
      <c r="B13" s="139"/>
      <c r="C13" s="140"/>
      <c r="D13" s="77" t="s">
        <v>48</v>
      </c>
      <c r="E13" s="77" t="s">
        <v>49</v>
      </c>
      <c r="F13" s="77">
        <v>0.25</v>
      </c>
      <c r="G13" s="29" t="s">
        <v>51</v>
      </c>
      <c r="H13" s="79">
        <v>187</v>
      </c>
      <c r="I13" s="79">
        <f t="shared" si="3"/>
        <v>46.75</v>
      </c>
      <c r="J13" s="79" t="s">
        <v>36</v>
      </c>
      <c r="K13" s="30" t="s">
        <v>36</v>
      </c>
      <c r="L13" s="79">
        <f>I13</f>
        <v>46.75</v>
      </c>
      <c r="M13" s="128"/>
      <c r="N13" s="128"/>
      <c r="O13" s="128"/>
      <c r="P13" s="128"/>
      <c r="Q13" s="128"/>
      <c r="R13" s="125"/>
      <c r="S13" s="125"/>
      <c r="T13" s="125"/>
      <c r="U13" s="125"/>
      <c r="V13" s="125"/>
      <c r="W13" s="125"/>
      <c r="X13" s="125"/>
      <c r="Y13" s="128"/>
      <c r="Z13" s="125"/>
      <c r="AA13" s="125"/>
      <c r="AB13" s="125"/>
      <c r="AC13" s="125"/>
      <c r="AD13" s="128"/>
      <c r="AE13" s="128"/>
      <c r="AF13" s="128"/>
      <c r="AG13" s="125"/>
      <c r="AH13" s="125"/>
      <c r="AI13" s="125"/>
      <c r="AJ13" s="125"/>
      <c r="AK13" s="125"/>
      <c r="AL13" s="125"/>
      <c r="AM13" s="128"/>
      <c r="AN13" s="128"/>
      <c r="AO13" s="128"/>
      <c r="AP13" s="128"/>
      <c r="AQ13" s="128"/>
      <c r="AR13" s="128"/>
      <c r="AS13" s="128"/>
      <c r="AT13" s="128"/>
      <c r="AU13" s="160"/>
      <c r="AV13" s="160"/>
      <c r="AW13" s="125"/>
      <c r="AX13" s="128"/>
      <c r="AY13" s="128"/>
      <c r="AZ13" s="176"/>
      <c r="BA13" s="31">
        <f t="shared" si="1"/>
        <v>0</v>
      </c>
    </row>
    <row r="14" spans="1:54" ht="44.25" customHeight="1" x14ac:dyDescent="0.25">
      <c r="A14" s="138"/>
      <c r="B14" s="139"/>
      <c r="C14" s="140"/>
      <c r="D14" s="77" t="s">
        <v>52</v>
      </c>
      <c r="E14" s="77" t="s">
        <v>41</v>
      </c>
      <c r="F14" s="77">
        <v>1</v>
      </c>
      <c r="G14" s="29" t="s">
        <v>53</v>
      </c>
      <c r="H14" s="79">
        <v>500</v>
      </c>
      <c r="I14" s="79">
        <f t="shared" si="3"/>
        <v>500</v>
      </c>
      <c r="J14" s="79" t="s">
        <v>36</v>
      </c>
      <c r="K14" s="79" t="s">
        <v>36</v>
      </c>
      <c r="L14" s="79">
        <f>I14</f>
        <v>500</v>
      </c>
      <c r="M14" s="129"/>
      <c r="N14" s="129"/>
      <c r="O14" s="129"/>
      <c r="P14" s="129"/>
      <c r="Q14" s="129"/>
      <c r="R14" s="126"/>
      <c r="S14" s="126"/>
      <c r="T14" s="126"/>
      <c r="U14" s="126"/>
      <c r="V14" s="126"/>
      <c r="W14" s="126"/>
      <c r="X14" s="126"/>
      <c r="Y14" s="129"/>
      <c r="Z14" s="126"/>
      <c r="AA14" s="126"/>
      <c r="AB14" s="126"/>
      <c r="AC14" s="126"/>
      <c r="AD14" s="129"/>
      <c r="AE14" s="129"/>
      <c r="AF14" s="129"/>
      <c r="AG14" s="126"/>
      <c r="AH14" s="126"/>
      <c r="AI14" s="126"/>
      <c r="AJ14" s="126"/>
      <c r="AK14" s="126"/>
      <c r="AL14" s="126"/>
      <c r="AM14" s="129"/>
      <c r="AN14" s="129"/>
      <c r="AO14" s="129"/>
      <c r="AP14" s="129"/>
      <c r="AQ14" s="129"/>
      <c r="AR14" s="129"/>
      <c r="AS14" s="129"/>
      <c r="AT14" s="129"/>
      <c r="AU14" s="161"/>
      <c r="AV14" s="161"/>
      <c r="AW14" s="126"/>
      <c r="AX14" s="129"/>
      <c r="AY14" s="129"/>
      <c r="AZ14" s="177"/>
      <c r="BA14" s="31">
        <f t="shared" si="1"/>
        <v>0</v>
      </c>
    </row>
    <row r="15" spans="1:54" ht="31.5" customHeight="1" x14ac:dyDescent="0.25">
      <c r="A15" s="138">
        <v>2</v>
      </c>
      <c r="B15" s="139" t="s">
        <v>56</v>
      </c>
      <c r="C15" s="140">
        <v>6</v>
      </c>
      <c r="D15" s="77" t="s">
        <v>38</v>
      </c>
      <c r="E15" s="77" t="s">
        <v>37</v>
      </c>
      <c r="F15" s="77">
        <v>2</v>
      </c>
      <c r="G15" s="89" t="s">
        <v>39</v>
      </c>
      <c r="H15" s="79">
        <v>1663</v>
      </c>
      <c r="I15" s="79">
        <f t="shared" si="3"/>
        <v>3326</v>
      </c>
      <c r="J15" s="79" t="s">
        <v>54</v>
      </c>
      <c r="K15" s="30">
        <v>1.1000000000000001</v>
      </c>
      <c r="L15" s="79">
        <f>I15*K15</f>
        <v>3658.6000000000004</v>
      </c>
      <c r="M15" s="127">
        <f t="shared" ref="M15" si="4">L20+L19+L18+L17+L16+L15</f>
        <v>6153.6262000000006</v>
      </c>
      <c r="N15" s="127">
        <f t="shared" ref="N15" si="5">M15*0.2</f>
        <v>1230.7252400000002</v>
      </c>
      <c r="O15" s="127">
        <f>M15*1.2</f>
        <v>7384.3514400000004</v>
      </c>
      <c r="P15" s="127">
        <f t="shared" ref="P15" si="6">O15*1.04*1.051</f>
        <v>8071.3914979776</v>
      </c>
      <c r="Q15" s="127">
        <f t="shared" ref="Q15" si="7">P15</f>
        <v>8071.3914979776</v>
      </c>
      <c r="R15" s="124">
        <v>1.0509999999999999</v>
      </c>
      <c r="S15" s="124">
        <v>1.04</v>
      </c>
      <c r="T15" s="124">
        <v>1.0409999999999999</v>
      </c>
      <c r="U15" s="124">
        <v>1.0409999999999999</v>
      </c>
      <c r="V15" s="124">
        <v>1.0409999999999999</v>
      </c>
      <c r="W15" s="124">
        <v>1.042</v>
      </c>
      <c r="X15" s="127">
        <v>0</v>
      </c>
      <c r="Y15" s="127">
        <f>P15</f>
        <v>8071.3914979776</v>
      </c>
      <c r="Z15" s="127">
        <v>0</v>
      </c>
      <c r="AA15" s="127">
        <v>0</v>
      </c>
      <c r="AB15" s="127">
        <v>0</v>
      </c>
      <c r="AC15" s="127">
        <v>0</v>
      </c>
      <c r="AD15" s="127">
        <f>O15</f>
        <v>7384.3514400000004</v>
      </c>
      <c r="AE15" s="127">
        <f>AD15*AG15*AH15</f>
        <v>8422.5026402467211</v>
      </c>
      <c r="AF15" s="127">
        <f>AM15+AN15+AO15+AP15+AQ15+AR15</f>
        <v>8422.5026402467211</v>
      </c>
      <c r="AG15" s="124">
        <f>AU15</f>
        <v>1.0740000000000001</v>
      </c>
      <c r="AH15" s="124">
        <f>AV15</f>
        <v>1.0620000000000001</v>
      </c>
      <c r="AI15" s="124">
        <v>1.0509999999999999</v>
      </c>
      <c r="AJ15" s="124">
        <v>1.048</v>
      </c>
      <c r="AK15" s="124">
        <v>1.0469999999999999</v>
      </c>
      <c r="AL15" s="124">
        <v>1.0469999999999999</v>
      </c>
      <c r="AM15" s="127">
        <v>0</v>
      </c>
      <c r="AN15" s="127">
        <f>AD15*AG15*AH15</f>
        <v>8422.5026402467211</v>
      </c>
      <c r="AO15" s="127">
        <v>0</v>
      </c>
      <c r="AP15" s="127">
        <v>0</v>
      </c>
      <c r="AQ15" s="127">
        <v>0</v>
      </c>
      <c r="AR15" s="127">
        <v>0</v>
      </c>
      <c r="AS15" s="127">
        <f t="shared" ref="AS15" si="8">AD15</f>
        <v>7384.3514400000004</v>
      </c>
      <c r="AT15" s="127">
        <f>AX15+AW15</f>
        <v>8422.5026402467211</v>
      </c>
      <c r="AU15" s="159">
        <v>1.0740000000000001</v>
      </c>
      <c r="AV15" s="159">
        <v>1.0620000000000001</v>
      </c>
      <c r="AW15" s="124">
        <v>0</v>
      </c>
      <c r="AX15" s="127">
        <f>AD15*AU15*AV15</f>
        <v>8422.5026402467211</v>
      </c>
      <c r="AY15" s="127">
        <f>AS15-AD15</f>
        <v>0</v>
      </c>
      <c r="AZ15" s="175">
        <f>AS9-O9</f>
        <v>0</v>
      </c>
      <c r="BA15" s="31">
        <f t="shared" si="1"/>
        <v>6726.1595816480003</v>
      </c>
    </row>
    <row r="16" spans="1:54" ht="90.75" customHeight="1" x14ac:dyDescent="0.25">
      <c r="A16" s="138"/>
      <c r="B16" s="139"/>
      <c r="C16" s="140"/>
      <c r="D16" s="77" t="s">
        <v>42</v>
      </c>
      <c r="E16" s="77" t="s">
        <v>34</v>
      </c>
      <c r="F16" s="77">
        <v>1.7969999999999999</v>
      </c>
      <c r="G16" s="29" t="s">
        <v>43</v>
      </c>
      <c r="H16" s="79">
        <v>699</v>
      </c>
      <c r="I16" s="79">
        <f t="shared" si="3"/>
        <v>1256.1029999999998</v>
      </c>
      <c r="J16" s="79" t="s">
        <v>55</v>
      </c>
      <c r="K16" s="30">
        <v>1.05</v>
      </c>
      <c r="L16" s="79">
        <f>I16*K16</f>
        <v>1318.90815</v>
      </c>
      <c r="M16" s="128"/>
      <c r="N16" s="128"/>
      <c r="O16" s="128"/>
      <c r="P16" s="128"/>
      <c r="Q16" s="128"/>
      <c r="R16" s="125"/>
      <c r="S16" s="125"/>
      <c r="T16" s="125"/>
      <c r="U16" s="125"/>
      <c r="V16" s="125"/>
      <c r="W16" s="125"/>
      <c r="X16" s="128"/>
      <c r="Y16" s="128"/>
      <c r="Z16" s="128"/>
      <c r="AA16" s="128"/>
      <c r="AB16" s="128">
        <v>0</v>
      </c>
      <c r="AC16" s="128"/>
      <c r="AD16" s="128"/>
      <c r="AE16" s="128"/>
      <c r="AF16" s="128"/>
      <c r="AG16" s="125"/>
      <c r="AH16" s="125"/>
      <c r="AI16" s="125"/>
      <c r="AJ16" s="125"/>
      <c r="AK16" s="125"/>
      <c r="AL16" s="125"/>
      <c r="AM16" s="128"/>
      <c r="AN16" s="128"/>
      <c r="AO16" s="128"/>
      <c r="AP16" s="128"/>
      <c r="AQ16" s="128"/>
      <c r="AR16" s="128"/>
      <c r="AS16" s="128"/>
      <c r="AT16" s="128"/>
      <c r="AU16" s="160"/>
      <c r="AV16" s="160"/>
      <c r="AW16" s="125"/>
      <c r="AX16" s="128"/>
      <c r="AY16" s="128"/>
      <c r="AZ16" s="176"/>
      <c r="BA16" s="31">
        <f t="shared" si="1"/>
        <v>0</v>
      </c>
    </row>
    <row r="17" spans="1:53" ht="69.75" customHeight="1" x14ac:dyDescent="0.25">
      <c r="A17" s="138"/>
      <c r="B17" s="139"/>
      <c r="C17" s="140"/>
      <c r="D17" s="77" t="s">
        <v>44</v>
      </c>
      <c r="E17" s="77" t="s">
        <v>45</v>
      </c>
      <c r="F17" s="77">
        <v>3.54</v>
      </c>
      <c r="G17" s="29" t="s">
        <v>46</v>
      </c>
      <c r="H17" s="79">
        <v>17</v>
      </c>
      <c r="I17" s="79">
        <f t="shared" si="3"/>
        <v>60.18</v>
      </c>
      <c r="J17" s="79" t="s">
        <v>55</v>
      </c>
      <c r="K17" s="30">
        <v>1.05</v>
      </c>
      <c r="L17" s="79">
        <f>I17*K17</f>
        <v>63.189</v>
      </c>
      <c r="M17" s="128"/>
      <c r="N17" s="128"/>
      <c r="O17" s="128"/>
      <c r="P17" s="128"/>
      <c r="Q17" s="128"/>
      <c r="R17" s="125"/>
      <c r="S17" s="125"/>
      <c r="T17" s="125"/>
      <c r="U17" s="125"/>
      <c r="V17" s="125"/>
      <c r="W17" s="125"/>
      <c r="X17" s="128"/>
      <c r="Y17" s="128"/>
      <c r="Z17" s="128"/>
      <c r="AA17" s="128"/>
      <c r="AB17" s="128"/>
      <c r="AC17" s="128"/>
      <c r="AD17" s="128"/>
      <c r="AE17" s="128"/>
      <c r="AF17" s="128"/>
      <c r="AG17" s="125"/>
      <c r="AH17" s="125"/>
      <c r="AI17" s="125"/>
      <c r="AJ17" s="125"/>
      <c r="AK17" s="125"/>
      <c r="AL17" s="125"/>
      <c r="AM17" s="128"/>
      <c r="AN17" s="128"/>
      <c r="AO17" s="128"/>
      <c r="AP17" s="128"/>
      <c r="AQ17" s="128"/>
      <c r="AR17" s="128"/>
      <c r="AS17" s="128"/>
      <c r="AT17" s="128"/>
      <c r="AU17" s="160"/>
      <c r="AV17" s="160"/>
      <c r="AW17" s="125"/>
      <c r="AX17" s="128"/>
      <c r="AY17" s="128"/>
      <c r="AZ17" s="176"/>
      <c r="BA17" s="31">
        <f t="shared" si="1"/>
        <v>0</v>
      </c>
    </row>
    <row r="18" spans="1:53" ht="81.75" customHeight="1" x14ac:dyDescent="0.25">
      <c r="A18" s="138"/>
      <c r="B18" s="139"/>
      <c r="C18" s="140"/>
      <c r="D18" s="77" t="s">
        <v>57</v>
      </c>
      <c r="E18" s="77" t="s">
        <v>34</v>
      </c>
      <c r="F18" s="77">
        <v>1.7969999999999999</v>
      </c>
      <c r="G18" s="29" t="s">
        <v>58</v>
      </c>
      <c r="H18" s="79">
        <v>413</v>
      </c>
      <c r="I18" s="79">
        <f t="shared" si="3"/>
        <v>742.16099999999994</v>
      </c>
      <c r="J18" s="79" t="s">
        <v>55</v>
      </c>
      <c r="K18" s="30">
        <v>1.05</v>
      </c>
      <c r="L18" s="79">
        <f>I18*K18</f>
        <v>779.26904999999999</v>
      </c>
      <c r="M18" s="128"/>
      <c r="N18" s="128"/>
      <c r="O18" s="128"/>
      <c r="P18" s="128"/>
      <c r="Q18" s="128"/>
      <c r="R18" s="125"/>
      <c r="S18" s="125"/>
      <c r="T18" s="125"/>
      <c r="U18" s="125"/>
      <c r="V18" s="125"/>
      <c r="W18" s="125"/>
      <c r="X18" s="128"/>
      <c r="Y18" s="128"/>
      <c r="Z18" s="128"/>
      <c r="AA18" s="128"/>
      <c r="AB18" s="128"/>
      <c r="AC18" s="128"/>
      <c r="AD18" s="128"/>
      <c r="AE18" s="128"/>
      <c r="AF18" s="128"/>
      <c r="AG18" s="125"/>
      <c r="AH18" s="125"/>
      <c r="AI18" s="125"/>
      <c r="AJ18" s="125"/>
      <c r="AK18" s="125"/>
      <c r="AL18" s="125"/>
      <c r="AM18" s="128"/>
      <c r="AN18" s="128"/>
      <c r="AO18" s="128"/>
      <c r="AP18" s="128"/>
      <c r="AQ18" s="128"/>
      <c r="AR18" s="128"/>
      <c r="AS18" s="128"/>
      <c r="AT18" s="128"/>
      <c r="AU18" s="160"/>
      <c r="AV18" s="160"/>
      <c r="AW18" s="125"/>
      <c r="AX18" s="128"/>
      <c r="AY18" s="128"/>
      <c r="AZ18" s="176"/>
      <c r="BA18" s="31">
        <f t="shared" si="1"/>
        <v>0</v>
      </c>
    </row>
    <row r="19" spans="1:53" ht="79.5" customHeight="1" x14ac:dyDescent="0.25">
      <c r="A19" s="138"/>
      <c r="B19" s="139"/>
      <c r="C19" s="140"/>
      <c r="D19" s="77" t="s">
        <v>48</v>
      </c>
      <c r="E19" s="77" t="s">
        <v>49</v>
      </c>
      <c r="F19" s="77">
        <v>0.18</v>
      </c>
      <c r="G19" s="29" t="s">
        <v>51</v>
      </c>
      <c r="H19" s="79">
        <v>187</v>
      </c>
      <c r="I19" s="79">
        <f t="shared" si="3"/>
        <v>33.659999999999997</v>
      </c>
      <c r="J19" s="79" t="s">
        <v>36</v>
      </c>
      <c r="K19" s="30" t="s">
        <v>36</v>
      </c>
      <c r="L19" s="79">
        <f>I19</f>
        <v>33.659999999999997</v>
      </c>
      <c r="M19" s="128"/>
      <c r="N19" s="128"/>
      <c r="O19" s="128"/>
      <c r="P19" s="128"/>
      <c r="Q19" s="128"/>
      <c r="R19" s="125"/>
      <c r="S19" s="125"/>
      <c r="T19" s="125"/>
      <c r="U19" s="125"/>
      <c r="V19" s="125"/>
      <c r="W19" s="125"/>
      <c r="X19" s="128"/>
      <c r="Y19" s="128"/>
      <c r="Z19" s="128"/>
      <c r="AA19" s="128"/>
      <c r="AB19" s="128"/>
      <c r="AC19" s="128"/>
      <c r="AD19" s="128"/>
      <c r="AE19" s="128"/>
      <c r="AF19" s="128"/>
      <c r="AG19" s="125"/>
      <c r="AH19" s="125"/>
      <c r="AI19" s="125"/>
      <c r="AJ19" s="125"/>
      <c r="AK19" s="125"/>
      <c r="AL19" s="125"/>
      <c r="AM19" s="128"/>
      <c r="AN19" s="128"/>
      <c r="AO19" s="128"/>
      <c r="AP19" s="128"/>
      <c r="AQ19" s="128"/>
      <c r="AR19" s="128"/>
      <c r="AS19" s="128"/>
      <c r="AT19" s="128"/>
      <c r="AU19" s="160"/>
      <c r="AV19" s="160"/>
      <c r="AW19" s="125"/>
      <c r="AX19" s="128"/>
      <c r="AY19" s="128"/>
      <c r="AZ19" s="176"/>
      <c r="BA19" s="31">
        <f t="shared" si="1"/>
        <v>0</v>
      </c>
    </row>
    <row r="20" spans="1:53" ht="44.25" customHeight="1" x14ac:dyDescent="0.25">
      <c r="A20" s="138"/>
      <c r="B20" s="139"/>
      <c r="C20" s="140"/>
      <c r="D20" s="77" t="s">
        <v>40</v>
      </c>
      <c r="E20" s="77" t="s">
        <v>41</v>
      </c>
      <c r="F20" s="77">
        <v>1</v>
      </c>
      <c r="G20" s="29" t="s">
        <v>53</v>
      </c>
      <c r="H20" s="79">
        <v>300</v>
      </c>
      <c r="I20" s="79">
        <f t="shared" si="3"/>
        <v>300</v>
      </c>
      <c r="J20" s="79" t="s">
        <v>36</v>
      </c>
      <c r="K20" s="79" t="s">
        <v>36</v>
      </c>
      <c r="L20" s="79">
        <f>I20</f>
        <v>300</v>
      </c>
      <c r="M20" s="129"/>
      <c r="N20" s="129"/>
      <c r="O20" s="129"/>
      <c r="P20" s="129"/>
      <c r="Q20" s="129"/>
      <c r="R20" s="126"/>
      <c r="S20" s="126"/>
      <c r="T20" s="126"/>
      <c r="U20" s="126"/>
      <c r="V20" s="126"/>
      <c r="W20" s="126"/>
      <c r="X20" s="129"/>
      <c r="Y20" s="129"/>
      <c r="Z20" s="129"/>
      <c r="AA20" s="129"/>
      <c r="AB20" s="129"/>
      <c r="AC20" s="129"/>
      <c r="AD20" s="129"/>
      <c r="AE20" s="129"/>
      <c r="AF20" s="129"/>
      <c r="AG20" s="126"/>
      <c r="AH20" s="126"/>
      <c r="AI20" s="126"/>
      <c r="AJ20" s="126"/>
      <c r="AK20" s="126"/>
      <c r="AL20" s="126"/>
      <c r="AM20" s="129"/>
      <c r="AN20" s="129"/>
      <c r="AO20" s="129"/>
      <c r="AP20" s="129"/>
      <c r="AQ20" s="129"/>
      <c r="AR20" s="129"/>
      <c r="AS20" s="129"/>
      <c r="AT20" s="129"/>
      <c r="AU20" s="161"/>
      <c r="AV20" s="161"/>
      <c r="AW20" s="126"/>
      <c r="AX20" s="129"/>
      <c r="AY20" s="129"/>
      <c r="AZ20" s="177"/>
      <c r="BA20" s="31">
        <f t="shared" si="1"/>
        <v>0</v>
      </c>
    </row>
    <row r="21" spans="1:53" ht="31.5" customHeight="1" x14ac:dyDescent="0.25">
      <c r="A21" s="138">
        <v>3</v>
      </c>
      <c r="B21" s="139" t="s">
        <v>95</v>
      </c>
      <c r="C21" s="140">
        <v>6</v>
      </c>
      <c r="D21" s="77" t="s">
        <v>38</v>
      </c>
      <c r="E21" s="77" t="s">
        <v>37</v>
      </c>
      <c r="F21" s="77">
        <v>3</v>
      </c>
      <c r="G21" s="89" t="s">
        <v>39</v>
      </c>
      <c r="H21" s="79">
        <v>1663</v>
      </c>
      <c r="I21" s="79">
        <f t="shared" si="3"/>
        <v>4989</v>
      </c>
      <c r="J21" s="79" t="s">
        <v>54</v>
      </c>
      <c r="K21" s="30">
        <v>1.1000000000000001</v>
      </c>
      <c r="L21" s="79">
        <f>I21*K21</f>
        <v>5487.9000000000005</v>
      </c>
      <c r="M21" s="127">
        <f>L26+L25+L24+L23+L22+L21</f>
        <v>8779.5790000000015</v>
      </c>
      <c r="N21" s="127">
        <f>M21*0.2</f>
        <v>1755.9158000000004</v>
      </c>
      <c r="O21" s="127">
        <f t="shared" ref="O21" si="9">M21*1.2</f>
        <v>10535.494800000002</v>
      </c>
      <c r="P21" s="127">
        <f t="shared" ref="P21" si="10">O21*1.04*1.051</f>
        <v>11515.717236192002</v>
      </c>
      <c r="Q21" s="127">
        <f t="shared" ref="Q21" si="11">P21</f>
        <v>11515.717236192002</v>
      </c>
      <c r="R21" s="124">
        <v>1.0509999999999999</v>
      </c>
      <c r="S21" s="124">
        <v>1.04</v>
      </c>
      <c r="T21" s="124">
        <v>1.0409999999999999</v>
      </c>
      <c r="U21" s="124">
        <v>1.0409999999999999</v>
      </c>
      <c r="V21" s="124">
        <v>1.0409999999999999</v>
      </c>
      <c r="W21" s="124">
        <v>1.042</v>
      </c>
      <c r="X21" s="127">
        <v>0</v>
      </c>
      <c r="Y21" s="127">
        <f>P21</f>
        <v>11515.717236192002</v>
      </c>
      <c r="Z21" s="127">
        <v>0</v>
      </c>
      <c r="AA21" s="127">
        <v>0</v>
      </c>
      <c r="AB21" s="127">
        <v>0</v>
      </c>
      <c r="AC21" s="127">
        <v>0</v>
      </c>
      <c r="AD21" s="127">
        <f>O21</f>
        <v>10535.494800000002</v>
      </c>
      <c r="AE21" s="127">
        <f>AD21*AG21*AH21</f>
        <v>12016.658942942404</v>
      </c>
      <c r="AF21" s="127">
        <f>AM21+AN21+AO21+AP21+AQ21+AR21</f>
        <v>12016.658942942404</v>
      </c>
      <c r="AG21" s="124">
        <f>AU21</f>
        <v>1.0740000000000001</v>
      </c>
      <c r="AH21" s="124">
        <f>AV21</f>
        <v>1.0620000000000001</v>
      </c>
      <c r="AI21" s="124">
        <v>1.0509999999999999</v>
      </c>
      <c r="AJ21" s="124">
        <v>1.048</v>
      </c>
      <c r="AK21" s="124">
        <v>1.0469999999999999</v>
      </c>
      <c r="AL21" s="124">
        <v>1.0469999999999999</v>
      </c>
      <c r="AM21" s="127">
        <v>0</v>
      </c>
      <c r="AN21" s="127">
        <f>AD21*AG21*AH21</f>
        <v>12016.658942942404</v>
      </c>
      <c r="AO21" s="127">
        <v>0</v>
      </c>
      <c r="AP21" s="127">
        <v>0</v>
      </c>
      <c r="AQ21" s="127">
        <v>0</v>
      </c>
      <c r="AR21" s="127">
        <v>0</v>
      </c>
      <c r="AS21" s="127">
        <v>12730.6548</v>
      </c>
      <c r="AT21" s="127">
        <v>14520.432097022402</v>
      </c>
      <c r="AU21" s="124">
        <v>1.0740000000000001</v>
      </c>
      <c r="AV21" s="124">
        <v>1.0620000000000001</v>
      </c>
      <c r="AW21" s="127">
        <v>0</v>
      </c>
      <c r="AX21" s="127">
        <v>14520.432097022402</v>
      </c>
      <c r="AY21" s="127">
        <v>0</v>
      </c>
      <c r="AZ21" s="175">
        <f>AS9-O9</f>
        <v>0</v>
      </c>
      <c r="BA21" s="31">
        <f t="shared" si="1"/>
        <v>9596.4310301600017</v>
      </c>
    </row>
    <row r="22" spans="1:53" ht="85.5" customHeight="1" x14ac:dyDescent="0.25">
      <c r="A22" s="138"/>
      <c r="B22" s="139"/>
      <c r="C22" s="140"/>
      <c r="D22" s="77" t="s">
        <v>42</v>
      </c>
      <c r="E22" s="77" t="s">
        <v>34</v>
      </c>
      <c r="F22" s="77">
        <v>2.2999999999999998</v>
      </c>
      <c r="G22" s="29" t="s">
        <v>43</v>
      </c>
      <c r="H22" s="79">
        <v>699</v>
      </c>
      <c r="I22" s="79">
        <f t="shared" si="3"/>
        <v>1607.6999999999998</v>
      </c>
      <c r="J22" s="79" t="s">
        <v>55</v>
      </c>
      <c r="K22" s="30">
        <v>1.05</v>
      </c>
      <c r="L22" s="79">
        <f>I22*K22</f>
        <v>1688.0849999999998</v>
      </c>
      <c r="M22" s="128"/>
      <c r="N22" s="128"/>
      <c r="O22" s="128"/>
      <c r="P22" s="128"/>
      <c r="Q22" s="128"/>
      <c r="R22" s="125"/>
      <c r="S22" s="125"/>
      <c r="T22" s="125"/>
      <c r="U22" s="125"/>
      <c r="V22" s="125"/>
      <c r="W22" s="125"/>
      <c r="X22" s="128"/>
      <c r="Y22" s="128"/>
      <c r="Z22" s="128"/>
      <c r="AA22" s="128"/>
      <c r="AB22" s="128"/>
      <c r="AC22" s="128"/>
      <c r="AD22" s="128"/>
      <c r="AE22" s="128"/>
      <c r="AF22" s="128"/>
      <c r="AG22" s="125"/>
      <c r="AH22" s="125"/>
      <c r="AI22" s="125"/>
      <c r="AJ22" s="125"/>
      <c r="AK22" s="125"/>
      <c r="AL22" s="125"/>
      <c r="AM22" s="128"/>
      <c r="AN22" s="128"/>
      <c r="AO22" s="128"/>
      <c r="AP22" s="128"/>
      <c r="AQ22" s="128"/>
      <c r="AR22" s="128"/>
      <c r="AS22" s="128"/>
      <c r="AT22" s="128"/>
      <c r="AU22" s="125"/>
      <c r="AV22" s="125"/>
      <c r="AW22" s="128"/>
      <c r="AX22" s="128"/>
      <c r="AY22" s="128"/>
      <c r="AZ22" s="176"/>
      <c r="BA22" s="31">
        <f t="shared" si="1"/>
        <v>0</v>
      </c>
    </row>
    <row r="23" spans="1:53" ht="61.5" customHeight="1" x14ac:dyDescent="0.25">
      <c r="A23" s="138"/>
      <c r="B23" s="139"/>
      <c r="C23" s="140"/>
      <c r="D23" s="77" t="s">
        <v>44</v>
      </c>
      <c r="E23" s="77" t="s">
        <v>45</v>
      </c>
      <c r="F23" s="77">
        <v>3.54</v>
      </c>
      <c r="G23" s="29" t="s">
        <v>46</v>
      </c>
      <c r="H23" s="79">
        <v>17</v>
      </c>
      <c r="I23" s="79">
        <f t="shared" si="3"/>
        <v>60.18</v>
      </c>
      <c r="J23" s="79" t="s">
        <v>55</v>
      </c>
      <c r="K23" s="30">
        <v>1.05</v>
      </c>
      <c r="L23" s="79">
        <f>I23*K23</f>
        <v>63.189</v>
      </c>
      <c r="M23" s="128"/>
      <c r="N23" s="128"/>
      <c r="O23" s="128"/>
      <c r="P23" s="128"/>
      <c r="Q23" s="128"/>
      <c r="R23" s="125"/>
      <c r="S23" s="125"/>
      <c r="T23" s="125"/>
      <c r="U23" s="125"/>
      <c r="V23" s="125"/>
      <c r="W23" s="125"/>
      <c r="X23" s="128"/>
      <c r="Y23" s="128"/>
      <c r="Z23" s="128"/>
      <c r="AA23" s="128"/>
      <c r="AB23" s="128"/>
      <c r="AC23" s="128"/>
      <c r="AD23" s="128"/>
      <c r="AE23" s="128"/>
      <c r="AF23" s="128"/>
      <c r="AG23" s="125"/>
      <c r="AH23" s="125"/>
      <c r="AI23" s="125"/>
      <c r="AJ23" s="125"/>
      <c r="AK23" s="125"/>
      <c r="AL23" s="125"/>
      <c r="AM23" s="128"/>
      <c r="AN23" s="128"/>
      <c r="AO23" s="128"/>
      <c r="AP23" s="128"/>
      <c r="AQ23" s="128"/>
      <c r="AR23" s="128"/>
      <c r="AS23" s="128"/>
      <c r="AT23" s="128"/>
      <c r="AU23" s="125"/>
      <c r="AV23" s="125"/>
      <c r="AW23" s="128"/>
      <c r="AX23" s="128"/>
      <c r="AY23" s="128"/>
      <c r="AZ23" s="176"/>
      <c r="BA23" s="31">
        <f t="shared" si="1"/>
        <v>0</v>
      </c>
    </row>
    <row r="24" spans="1:53" ht="78.75" customHeight="1" x14ac:dyDescent="0.25">
      <c r="A24" s="138"/>
      <c r="B24" s="139"/>
      <c r="C24" s="140"/>
      <c r="D24" s="77" t="s">
        <v>57</v>
      </c>
      <c r="E24" s="77" t="s">
        <v>34</v>
      </c>
      <c r="F24" s="77">
        <v>2.2999999999999998</v>
      </c>
      <c r="G24" s="29" t="s">
        <v>58</v>
      </c>
      <c r="H24" s="79">
        <v>413</v>
      </c>
      <c r="I24" s="79">
        <f t="shared" si="3"/>
        <v>949.9</v>
      </c>
      <c r="J24" s="79" t="s">
        <v>55</v>
      </c>
      <c r="K24" s="30">
        <v>1.05</v>
      </c>
      <c r="L24" s="79">
        <f>I24*K24</f>
        <v>997.39499999999998</v>
      </c>
      <c r="M24" s="128"/>
      <c r="N24" s="128"/>
      <c r="O24" s="128"/>
      <c r="P24" s="128"/>
      <c r="Q24" s="128"/>
      <c r="R24" s="125"/>
      <c r="S24" s="125"/>
      <c r="T24" s="125"/>
      <c r="U24" s="125"/>
      <c r="V24" s="125"/>
      <c r="W24" s="125"/>
      <c r="X24" s="128"/>
      <c r="Y24" s="128"/>
      <c r="Z24" s="128"/>
      <c r="AA24" s="128"/>
      <c r="AB24" s="128"/>
      <c r="AC24" s="128"/>
      <c r="AD24" s="128"/>
      <c r="AE24" s="128"/>
      <c r="AF24" s="128"/>
      <c r="AG24" s="125"/>
      <c r="AH24" s="125"/>
      <c r="AI24" s="125"/>
      <c r="AJ24" s="125"/>
      <c r="AK24" s="125"/>
      <c r="AL24" s="125"/>
      <c r="AM24" s="128"/>
      <c r="AN24" s="128"/>
      <c r="AO24" s="128"/>
      <c r="AP24" s="128"/>
      <c r="AQ24" s="128"/>
      <c r="AR24" s="128"/>
      <c r="AS24" s="128"/>
      <c r="AT24" s="128"/>
      <c r="AU24" s="125"/>
      <c r="AV24" s="125"/>
      <c r="AW24" s="128"/>
      <c r="AX24" s="128"/>
      <c r="AY24" s="128"/>
      <c r="AZ24" s="176"/>
      <c r="BA24" s="31">
        <f t="shared" si="1"/>
        <v>0</v>
      </c>
    </row>
    <row r="25" spans="1:53" ht="72.75" customHeight="1" x14ac:dyDescent="0.25">
      <c r="A25" s="138"/>
      <c r="B25" s="139"/>
      <c r="C25" s="140"/>
      <c r="D25" s="77" t="s">
        <v>48</v>
      </c>
      <c r="E25" s="77" t="s">
        <v>49</v>
      </c>
      <c r="F25" s="77">
        <v>0.23</v>
      </c>
      <c r="G25" s="29" t="s">
        <v>51</v>
      </c>
      <c r="H25" s="79">
        <v>187</v>
      </c>
      <c r="I25" s="79">
        <f t="shared" si="3"/>
        <v>43.010000000000005</v>
      </c>
      <c r="J25" s="79" t="s">
        <v>36</v>
      </c>
      <c r="K25" s="30" t="s">
        <v>36</v>
      </c>
      <c r="L25" s="79">
        <f>I25</f>
        <v>43.010000000000005</v>
      </c>
      <c r="M25" s="128"/>
      <c r="N25" s="128"/>
      <c r="O25" s="128"/>
      <c r="P25" s="128"/>
      <c r="Q25" s="128"/>
      <c r="R25" s="125"/>
      <c r="S25" s="125"/>
      <c r="T25" s="125"/>
      <c r="U25" s="125"/>
      <c r="V25" s="125"/>
      <c r="W25" s="125"/>
      <c r="X25" s="128"/>
      <c r="Y25" s="128"/>
      <c r="Z25" s="128"/>
      <c r="AA25" s="128"/>
      <c r="AB25" s="128"/>
      <c r="AC25" s="128"/>
      <c r="AD25" s="128"/>
      <c r="AE25" s="128"/>
      <c r="AF25" s="128"/>
      <c r="AG25" s="125"/>
      <c r="AH25" s="125"/>
      <c r="AI25" s="125"/>
      <c r="AJ25" s="125"/>
      <c r="AK25" s="125"/>
      <c r="AL25" s="125"/>
      <c r="AM25" s="128"/>
      <c r="AN25" s="128"/>
      <c r="AO25" s="128"/>
      <c r="AP25" s="128"/>
      <c r="AQ25" s="128"/>
      <c r="AR25" s="128"/>
      <c r="AS25" s="128"/>
      <c r="AT25" s="128"/>
      <c r="AU25" s="125"/>
      <c r="AV25" s="125"/>
      <c r="AW25" s="128"/>
      <c r="AX25" s="128"/>
      <c r="AY25" s="128"/>
      <c r="AZ25" s="176"/>
      <c r="BA25" s="31">
        <f t="shared" si="1"/>
        <v>0</v>
      </c>
    </row>
    <row r="26" spans="1:53" ht="36" customHeight="1" x14ac:dyDescent="0.25">
      <c r="A26" s="138"/>
      <c r="B26" s="139"/>
      <c r="C26" s="140"/>
      <c r="D26" s="77" t="s">
        <v>52</v>
      </c>
      <c r="E26" s="77" t="s">
        <v>41</v>
      </c>
      <c r="F26" s="77">
        <v>1</v>
      </c>
      <c r="G26" s="29" t="s">
        <v>53</v>
      </c>
      <c r="H26" s="79">
        <v>500</v>
      </c>
      <c r="I26" s="79">
        <f t="shared" si="3"/>
        <v>500</v>
      </c>
      <c r="J26" s="79" t="s">
        <v>36</v>
      </c>
      <c r="K26" s="79" t="s">
        <v>36</v>
      </c>
      <c r="L26" s="79">
        <f>I26</f>
        <v>500</v>
      </c>
      <c r="M26" s="129"/>
      <c r="N26" s="129"/>
      <c r="O26" s="129"/>
      <c r="P26" s="129"/>
      <c r="Q26" s="129"/>
      <c r="R26" s="126"/>
      <c r="S26" s="126"/>
      <c r="T26" s="126"/>
      <c r="U26" s="126"/>
      <c r="V26" s="126"/>
      <c r="W26" s="126"/>
      <c r="X26" s="129"/>
      <c r="Y26" s="129"/>
      <c r="Z26" s="129"/>
      <c r="AA26" s="129"/>
      <c r="AB26" s="129"/>
      <c r="AC26" s="129"/>
      <c r="AD26" s="129"/>
      <c r="AE26" s="129"/>
      <c r="AF26" s="129"/>
      <c r="AG26" s="126"/>
      <c r="AH26" s="126"/>
      <c r="AI26" s="126"/>
      <c r="AJ26" s="126"/>
      <c r="AK26" s="126"/>
      <c r="AL26" s="126"/>
      <c r="AM26" s="129"/>
      <c r="AN26" s="129"/>
      <c r="AO26" s="129"/>
      <c r="AP26" s="129"/>
      <c r="AQ26" s="129"/>
      <c r="AR26" s="129"/>
      <c r="AS26" s="129"/>
      <c r="AT26" s="129"/>
      <c r="AU26" s="126"/>
      <c r="AV26" s="126"/>
      <c r="AW26" s="129"/>
      <c r="AX26" s="129"/>
      <c r="AY26" s="129"/>
      <c r="AZ26" s="177"/>
      <c r="BA26" s="31">
        <f t="shared" si="1"/>
        <v>0</v>
      </c>
    </row>
    <row r="27" spans="1:53" ht="79.5" customHeight="1" x14ac:dyDescent="0.25">
      <c r="A27" s="138">
        <v>4</v>
      </c>
      <c r="B27" s="139" t="s">
        <v>60</v>
      </c>
      <c r="C27" s="140">
        <v>35</v>
      </c>
      <c r="D27" s="77" t="s">
        <v>61</v>
      </c>
      <c r="E27" s="77" t="s">
        <v>33</v>
      </c>
      <c r="F27" s="77">
        <v>3</v>
      </c>
      <c r="G27" s="89" t="s">
        <v>62</v>
      </c>
      <c r="H27" s="79">
        <v>1060</v>
      </c>
      <c r="I27" s="79">
        <f t="shared" si="3"/>
        <v>3180</v>
      </c>
      <c r="J27" s="79" t="s">
        <v>54</v>
      </c>
      <c r="K27" s="30">
        <v>1.1000000000000001</v>
      </c>
      <c r="L27" s="79">
        <f t="shared" ref="L27:L36" si="12">I27*K27</f>
        <v>3498.0000000000005</v>
      </c>
      <c r="M27" s="116">
        <f>L27+L28+L29+L30+L37</f>
        <v>13598.960000000001</v>
      </c>
      <c r="N27" s="127">
        <f>M27*0.2</f>
        <v>2719.7920000000004</v>
      </c>
      <c r="O27" s="116">
        <f>M27+N27</f>
        <v>16318.752</v>
      </c>
      <c r="P27" s="116">
        <f>O27*R27*S27</f>
        <v>17837.048686080001</v>
      </c>
      <c r="Q27" s="116">
        <f>P27</f>
        <v>17837.048686080001</v>
      </c>
      <c r="R27" s="124">
        <v>1.0509999999999999</v>
      </c>
      <c r="S27" s="124">
        <v>1.04</v>
      </c>
      <c r="T27" s="124">
        <v>1.0409999999999999</v>
      </c>
      <c r="U27" s="124">
        <v>1.0409999999999999</v>
      </c>
      <c r="V27" s="124">
        <v>1.0409999999999999</v>
      </c>
      <c r="W27" s="124">
        <v>1.042</v>
      </c>
      <c r="X27" s="127">
        <v>0</v>
      </c>
      <c r="Y27" s="127">
        <f>P27</f>
        <v>17837.048686080001</v>
      </c>
      <c r="Z27" s="127">
        <v>0</v>
      </c>
      <c r="AA27" s="127">
        <v>0</v>
      </c>
      <c r="AB27" s="127">
        <v>0</v>
      </c>
      <c r="AC27" s="127">
        <v>0</v>
      </c>
      <c r="AD27" s="127">
        <f>SUM(L27:L37)*1.2</f>
        <v>26152.547903999999</v>
      </c>
      <c r="AE27" s="127">
        <f>AD27*AG27*AH27</f>
        <v>29829.282308727554</v>
      </c>
      <c r="AF27" s="127">
        <f>AM27+AN27+AO27+AP27+AQ27+AR27</f>
        <v>29829.282308727554</v>
      </c>
      <c r="AG27" s="124">
        <f>AU27</f>
        <v>1.0740000000000001</v>
      </c>
      <c r="AH27" s="124">
        <f>AV27</f>
        <v>1.0620000000000001</v>
      </c>
      <c r="AI27" s="124">
        <v>1.0509999999999999</v>
      </c>
      <c r="AJ27" s="124">
        <v>1.048</v>
      </c>
      <c r="AK27" s="124">
        <v>1.0469999999999999</v>
      </c>
      <c r="AL27" s="124">
        <v>1.0469999999999999</v>
      </c>
      <c r="AM27" s="127">
        <v>0</v>
      </c>
      <c r="AN27" s="127">
        <f>AD27*AG27*AH27</f>
        <v>29829.282308727554</v>
      </c>
      <c r="AO27" s="127">
        <v>0</v>
      </c>
      <c r="AP27" s="127">
        <v>0</v>
      </c>
      <c r="AQ27" s="127">
        <v>0</v>
      </c>
      <c r="AR27" s="127">
        <v>0</v>
      </c>
      <c r="AS27" s="127">
        <v>26152.547903999999</v>
      </c>
      <c r="AT27" s="127">
        <v>29829.282308727557</v>
      </c>
      <c r="AU27" s="124">
        <v>1.0740000000000001</v>
      </c>
      <c r="AV27" s="124">
        <v>1.0620000000000001</v>
      </c>
      <c r="AW27" s="127">
        <v>0</v>
      </c>
      <c r="AX27" s="127">
        <v>29829.282308727557</v>
      </c>
      <c r="AY27" s="127">
        <v>0</v>
      </c>
      <c r="AZ27" s="175">
        <f>AS9-O9</f>
        <v>0</v>
      </c>
      <c r="BA27" s="31">
        <f t="shared" si="1"/>
        <v>14864.207238400002</v>
      </c>
    </row>
    <row r="28" spans="1:53" ht="75.75" customHeight="1" x14ac:dyDescent="0.25">
      <c r="A28" s="138"/>
      <c r="B28" s="139"/>
      <c r="C28" s="140"/>
      <c r="D28" s="77" t="s">
        <v>63</v>
      </c>
      <c r="E28" s="77" t="s">
        <v>37</v>
      </c>
      <c r="F28" s="77">
        <v>2</v>
      </c>
      <c r="G28" s="89" t="s">
        <v>64</v>
      </c>
      <c r="H28" s="79">
        <v>928</v>
      </c>
      <c r="I28" s="79">
        <f t="shared" si="3"/>
        <v>1856</v>
      </c>
      <c r="J28" s="79" t="s">
        <v>59</v>
      </c>
      <c r="K28" s="30">
        <v>1.03</v>
      </c>
      <c r="L28" s="79">
        <f t="shared" si="12"/>
        <v>1911.68</v>
      </c>
      <c r="M28" s="116"/>
      <c r="N28" s="128"/>
      <c r="O28" s="116"/>
      <c r="P28" s="116"/>
      <c r="Q28" s="116"/>
      <c r="R28" s="125"/>
      <c r="S28" s="125"/>
      <c r="T28" s="125"/>
      <c r="U28" s="125"/>
      <c r="V28" s="125"/>
      <c r="W28" s="125"/>
      <c r="X28" s="128"/>
      <c r="Y28" s="128"/>
      <c r="Z28" s="128"/>
      <c r="AA28" s="128"/>
      <c r="AB28" s="128"/>
      <c r="AC28" s="128"/>
      <c r="AD28" s="128"/>
      <c r="AE28" s="128"/>
      <c r="AF28" s="128"/>
      <c r="AG28" s="125"/>
      <c r="AH28" s="125"/>
      <c r="AI28" s="125"/>
      <c r="AJ28" s="125"/>
      <c r="AK28" s="125"/>
      <c r="AL28" s="125"/>
      <c r="AM28" s="128"/>
      <c r="AN28" s="128"/>
      <c r="AO28" s="128"/>
      <c r="AP28" s="128"/>
      <c r="AQ28" s="128"/>
      <c r="AR28" s="128"/>
      <c r="AS28" s="128"/>
      <c r="AT28" s="128"/>
      <c r="AU28" s="125"/>
      <c r="AV28" s="125"/>
      <c r="AW28" s="128"/>
      <c r="AX28" s="128"/>
      <c r="AY28" s="128"/>
      <c r="AZ28" s="176"/>
      <c r="BA28" s="31">
        <f t="shared" si="1"/>
        <v>0</v>
      </c>
    </row>
    <row r="29" spans="1:53" ht="53.25" customHeight="1" x14ac:dyDescent="0.25">
      <c r="A29" s="138"/>
      <c r="B29" s="139"/>
      <c r="C29" s="140"/>
      <c r="D29" s="77" t="s">
        <v>65</v>
      </c>
      <c r="E29" s="77" t="s">
        <v>33</v>
      </c>
      <c r="F29" s="77">
        <v>6</v>
      </c>
      <c r="G29" s="89" t="s">
        <v>66</v>
      </c>
      <c r="H29" s="79">
        <v>932</v>
      </c>
      <c r="I29" s="79">
        <f t="shared" si="3"/>
        <v>5592</v>
      </c>
      <c r="J29" s="79" t="s">
        <v>67</v>
      </c>
      <c r="K29" s="30">
        <v>1.04</v>
      </c>
      <c r="L29" s="79">
        <f t="shared" si="12"/>
        <v>5815.68</v>
      </c>
      <c r="M29" s="116"/>
      <c r="N29" s="128"/>
      <c r="O29" s="116"/>
      <c r="P29" s="116"/>
      <c r="Q29" s="116"/>
      <c r="R29" s="125"/>
      <c r="S29" s="125"/>
      <c r="T29" s="125"/>
      <c r="U29" s="125"/>
      <c r="V29" s="125"/>
      <c r="W29" s="125"/>
      <c r="X29" s="128"/>
      <c r="Y29" s="128"/>
      <c r="Z29" s="128"/>
      <c r="AA29" s="128"/>
      <c r="AB29" s="128"/>
      <c r="AC29" s="128"/>
      <c r="AD29" s="128"/>
      <c r="AE29" s="128"/>
      <c r="AF29" s="128"/>
      <c r="AG29" s="125"/>
      <c r="AH29" s="125"/>
      <c r="AI29" s="125"/>
      <c r="AJ29" s="125"/>
      <c r="AK29" s="125"/>
      <c r="AL29" s="125"/>
      <c r="AM29" s="128"/>
      <c r="AN29" s="128"/>
      <c r="AO29" s="128"/>
      <c r="AP29" s="128"/>
      <c r="AQ29" s="128"/>
      <c r="AR29" s="128"/>
      <c r="AS29" s="128"/>
      <c r="AT29" s="128"/>
      <c r="AU29" s="125"/>
      <c r="AV29" s="125"/>
      <c r="AW29" s="128"/>
      <c r="AX29" s="128"/>
      <c r="AY29" s="128"/>
      <c r="AZ29" s="176"/>
      <c r="BA29" s="31">
        <f t="shared" si="1"/>
        <v>0</v>
      </c>
    </row>
    <row r="30" spans="1:53" ht="53.25" customHeight="1" x14ac:dyDescent="0.25">
      <c r="A30" s="138"/>
      <c r="B30" s="139"/>
      <c r="C30" s="140"/>
      <c r="D30" s="77" t="s">
        <v>70</v>
      </c>
      <c r="E30" s="77" t="s">
        <v>33</v>
      </c>
      <c r="F30" s="77">
        <v>15</v>
      </c>
      <c r="G30" s="89" t="s">
        <v>71</v>
      </c>
      <c r="H30" s="79">
        <v>56</v>
      </c>
      <c r="I30" s="79">
        <f t="shared" si="3"/>
        <v>840</v>
      </c>
      <c r="J30" s="79" t="s">
        <v>67</v>
      </c>
      <c r="K30" s="30">
        <v>1.04</v>
      </c>
      <c r="L30" s="79">
        <f t="shared" si="12"/>
        <v>873.6</v>
      </c>
      <c r="M30" s="116"/>
      <c r="N30" s="128"/>
      <c r="O30" s="116"/>
      <c r="P30" s="116"/>
      <c r="Q30" s="116"/>
      <c r="R30" s="125"/>
      <c r="S30" s="125"/>
      <c r="T30" s="125"/>
      <c r="U30" s="125"/>
      <c r="V30" s="125"/>
      <c r="W30" s="125"/>
      <c r="X30" s="128"/>
      <c r="Y30" s="128"/>
      <c r="Z30" s="128"/>
      <c r="AA30" s="128"/>
      <c r="AB30" s="128"/>
      <c r="AC30" s="128"/>
      <c r="AD30" s="128"/>
      <c r="AE30" s="128"/>
      <c r="AF30" s="128"/>
      <c r="AG30" s="125"/>
      <c r="AH30" s="125"/>
      <c r="AI30" s="125"/>
      <c r="AJ30" s="125"/>
      <c r="AK30" s="125"/>
      <c r="AL30" s="125"/>
      <c r="AM30" s="128"/>
      <c r="AN30" s="128"/>
      <c r="AO30" s="128"/>
      <c r="AP30" s="128"/>
      <c r="AQ30" s="128"/>
      <c r="AR30" s="128"/>
      <c r="AS30" s="128"/>
      <c r="AT30" s="128"/>
      <c r="AU30" s="125"/>
      <c r="AV30" s="125"/>
      <c r="AW30" s="128"/>
      <c r="AX30" s="128"/>
      <c r="AY30" s="128"/>
      <c r="AZ30" s="176"/>
      <c r="BA30" s="31">
        <f t="shared" si="1"/>
        <v>0</v>
      </c>
    </row>
    <row r="31" spans="1:53" ht="53.25" customHeight="1" x14ac:dyDescent="0.25">
      <c r="A31" s="138"/>
      <c r="B31" s="139"/>
      <c r="C31" s="140"/>
      <c r="D31" s="77" t="s">
        <v>235</v>
      </c>
      <c r="E31" s="77" t="s">
        <v>33</v>
      </c>
      <c r="F31" s="77">
        <v>2</v>
      </c>
      <c r="G31" s="89" t="s">
        <v>74</v>
      </c>
      <c r="H31" s="79">
        <v>1397</v>
      </c>
      <c r="I31" s="79">
        <f t="shared" si="3"/>
        <v>2794</v>
      </c>
      <c r="J31" s="79" t="s">
        <v>100</v>
      </c>
      <c r="K31" s="30">
        <v>1.04</v>
      </c>
      <c r="L31" s="79">
        <f t="shared" si="12"/>
        <v>2905.76</v>
      </c>
      <c r="M31" s="116"/>
      <c r="N31" s="128"/>
      <c r="O31" s="116"/>
      <c r="P31" s="116"/>
      <c r="Q31" s="188"/>
      <c r="R31" s="125"/>
      <c r="S31" s="125"/>
      <c r="T31" s="125"/>
      <c r="U31" s="125"/>
      <c r="V31" s="125"/>
      <c r="W31" s="125"/>
      <c r="X31" s="128"/>
      <c r="Y31" s="128"/>
      <c r="Z31" s="128"/>
      <c r="AA31" s="128"/>
      <c r="AB31" s="128"/>
      <c r="AC31" s="128"/>
      <c r="AD31" s="128"/>
      <c r="AE31" s="128"/>
      <c r="AF31" s="128"/>
      <c r="AG31" s="125"/>
      <c r="AH31" s="125"/>
      <c r="AI31" s="125"/>
      <c r="AJ31" s="125"/>
      <c r="AK31" s="125"/>
      <c r="AL31" s="125"/>
      <c r="AM31" s="128"/>
      <c r="AN31" s="128"/>
      <c r="AO31" s="128"/>
      <c r="AP31" s="128"/>
      <c r="AQ31" s="128"/>
      <c r="AR31" s="128"/>
      <c r="AS31" s="128"/>
      <c r="AT31" s="128"/>
      <c r="AU31" s="125"/>
      <c r="AV31" s="125"/>
      <c r="AW31" s="128"/>
      <c r="AX31" s="128"/>
      <c r="AY31" s="128"/>
      <c r="AZ31" s="176"/>
    </row>
    <row r="32" spans="1:53" ht="53.25" customHeight="1" x14ac:dyDescent="0.25">
      <c r="A32" s="138"/>
      <c r="B32" s="139"/>
      <c r="C32" s="140"/>
      <c r="D32" s="77" t="s">
        <v>236</v>
      </c>
      <c r="E32" s="77" t="s">
        <v>33</v>
      </c>
      <c r="F32" s="77">
        <v>1</v>
      </c>
      <c r="G32" s="89" t="s">
        <v>74</v>
      </c>
      <c r="H32" s="79">
        <v>1158</v>
      </c>
      <c r="I32" s="79">
        <f t="shared" si="3"/>
        <v>1158</v>
      </c>
      <c r="J32" s="79" t="s">
        <v>100</v>
      </c>
      <c r="K32" s="30">
        <v>1.04</v>
      </c>
      <c r="L32" s="79">
        <f t="shared" si="12"/>
        <v>1204.32</v>
      </c>
      <c r="M32" s="116"/>
      <c r="N32" s="128"/>
      <c r="O32" s="116"/>
      <c r="P32" s="116"/>
      <c r="Q32" s="188"/>
      <c r="R32" s="125"/>
      <c r="S32" s="125"/>
      <c r="T32" s="125"/>
      <c r="U32" s="125"/>
      <c r="V32" s="125"/>
      <c r="W32" s="125"/>
      <c r="X32" s="128"/>
      <c r="Y32" s="128"/>
      <c r="Z32" s="128"/>
      <c r="AA32" s="128"/>
      <c r="AB32" s="128"/>
      <c r="AC32" s="128"/>
      <c r="AD32" s="128"/>
      <c r="AE32" s="128"/>
      <c r="AF32" s="128"/>
      <c r="AG32" s="125"/>
      <c r="AH32" s="125"/>
      <c r="AI32" s="125"/>
      <c r="AJ32" s="125"/>
      <c r="AK32" s="125"/>
      <c r="AL32" s="125"/>
      <c r="AM32" s="128"/>
      <c r="AN32" s="128"/>
      <c r="AO32" s="128"/>
      <c r="AP32" s="128"/>
      <c r="AQ32" s="128"/>
      <c r="AR32" s="128"/>
      <c r="AS32" s="128"/>
      <c r="AT32" s="128"/>
      <c r="AU32" s="125"/>
      <c r="AV32" s="125"/>
      <c r="AW32" s="128"/>
      <c r="AX32" s="128"/>
      <c r="AY32" s="128"/>
      <c r="AZ32" s="176"/>
    </row>
    <row r="33" spans="1:55" ht="53.25" customHeight="1" x14ac:dyDescent="0.25">
      <c r="A33" s="138"/>
      <c r="B33" s="139"/>
      <c r="C33" s="140"/>
      <c r="D33" s="77" t="s">
        <v>237</v>
      </c>
      <c r="E33" s="77" t="s">
        <v>33</v>
      </c>
      <c r="F33" s="77">
        <v>1</v>
      </c>
      <c r="G33" s="89" t="s">
        <v>74</v>
      </c>
      <c r="H33" s="79">
        <v>1223</v>
      </c>
      <c r="I33" s="79">
        <f t="shared" si="3"/>
        <v>1223</v>
      </c>
      <c r="J33" s="79" t="s">
        <v>100</v>
      </c>
      <c r="K33" s="30">
        <v>1.04</v>
      </c>
      <c r="L33" s="79">
        <f t="shared" si="12"/>
        <v>1271.92</v>
      </c>
      <c r="M33" s="116"/>
      <c r="N33" s="128"/>
      <c r="O33" s="116"/>
      <c r="P33" s="116"/>
      <c r="Q33" s="188"/>
      <c r="R33" s="125"/>
      <c r="S33" s="125"/>
      <c r="T33" s="125"/>
      <c r="U33" s="125"/>
      <c r="V33" s="125"/>
      <c r="W33" s="125"/>
      <c r="X33" s="128"/>
      <c r="Y33" s="128"/>
      <c r="Z33" s="128"/>
      <c r="AA33" s="128"/>
      <c r="AB33" s="128"/>
      <c r="AC33" s="128"/>
      <c r="AD33" s="128"/>
      <c r="AE33" s="128"/>
      <c r="AF33" s="128"/>
      <c r="AG33" s="125"/>
      <c r="AH33" s="125"/>
      <c r="AI33" s="125"/>
      <c r="AJ33" s="125"/>
      <c r="AK33" s="125"/>
      <c r="AL33" s="125"/>
      <c r="AM33" s="128"/>
      <c r="AN33" s="128"/>
      <c r="AO33" s="128"/>
      <c r="AP33" s="128"/>
      <c r="AQ33" s="128"/>
      <c r="AR33" s="128"/>
      <c r="AS33" s="128"/>
      <c r="AT33" s="128"/>
      <c r="AU33" s="125"/>
      <c r="AV33" s="125"/>
      <c r="AW33" s="128"/>
      <c r="AX33" s="128"/>
      <c r="AY33" s="128"/>
      <c r="AZ33" s="176"/>
    </row>
    <row r="34" spans="1:55" ht="53.25" customHeight="1" x14ac:dyDescent="0.25">
      <c r="A34" s="138"/>
      <c r="B34" s="139"/>
      <c r="C34" s="140"/>
      <c r="D34" s="77" t="s">
        <v>238</v>
      </c>
      <c r="E34" s="77" t="s">
        <v>33</v>
      </c>
      <c r="F34" s="77">
        <v>1</v>
      </c>
      <c r="G34" s="89" t="s">
        <v>74</v>
      </c>
      <c r="H34" s="79">
        <v>717</v>
      </c>
      <c r="I34" s="79">
        <f t="shared" si="3"/>
        <v>717</v>
      </c>
      <c r="J34" s="79" t="s">
        <v>239</v>
      </c>
      <c r="K34" s="30">
        <v>2.04</v>
      </c>
      <c r="L34" s="79">
        <f t="shared" si="12"/>
        <v>1462.68</v>
      </c>
      <c r="M34" s="116"/>
      <c r="N34" s="128"/>
      <c r="O34" s="116"/>
      <c r="P34" s="116"/>
      <c r="Q34" s="188"/>
      <c r="R34" s="125"/>
      <c r="S34" s="125"/>
      <c r="T34" s="125"/>
      <c r="U34" s="125"/>
      <c r="V34" s="125"/>
      <c r="W34" s="125"/>
      <c r="X34" s="128"/>
      <c r="Y34" s="128"/>
      <c r="Z34" s="128"/>
      <c r="AA34" s="128"/>
      <c r="AB34" s="128"/>
      <c r="AC34" s="128"/>
      <c r="AD34" s="128"/>
      <c r="AE34" s="128"/>
      <c r="AF34" s="128"/>
      <c r="AG34" s="125"/>
      <c r="AH34" s="125"/>
      <c r="AI34" s="125"/>
      <c r="AJ34" s="125"/>
      <c r="AK34" s="125"/>
      <c r="AL34" s="125"/>
      <c r="AM34" s="128"/>
      <c r="AN34" s="128"/>
      <c r="AO34" s="128"/>
      <c r="AP34" s="128"/>
      <c r="AQ34" s="128"/>
      <c r="AR34" s="128"/>
      <c r="AS34" s="128"/>
      <c r="AT34" s="128"/>
      <c r="AU34" s="125"/>
      <c r="AV34" s="125"/>
      <c r="AW34" s="128"/>
      <c r="AX34" s="128"/>
      <c r="AY34" s="128"/>
      <c r="AZ34" s="176"/>
    </row>
    <row r="35" spans="1:55" ht="53.25" customHeight="1" x14ac:dyDescent="0.25">
      <c r="A35" s="138"/>
      <c r="B35" s="139"/>
      <c r="C35" s="140"/>
      <c r="D35" s="77" t="s">
        <v>240</v>
      </c>
      <c r="E35" s="77" t="s">
        <v>34</v>
      </c>
      <c r="F35" s="77">
        <v>2.839</v>
      </c>
      <c r="G35" s="89" t="s">
        <v>241</v>
      </c>
      <c r="H35" s="79">
        <v>168</v>
      </c>
      <c r="I35" s="79">
        <f t="shared" si="3"/>
        <v>476.952</v>
      </c>
      <c r="J35" s="79" t="s">
        <v>152</v>
      </c>
      <c r="K35" s="30">
        <v>1.1200000000000001</v>
      </c>
      <c r="L35" s="79">
        <f t="shared" si="12"/>
        <v>534.18624</v>
      </c>
      <c r="M35" s="116"/>
      <c r="N35" s="128"/>
      <c r="O35" s="116"/>
      <c r="P35" s="116"/>
      <c r="Q35" s="188"/>
      <c r="R35" s="125"/>
      <c r="S35" s="125"/>
      <c r="T35" s="125"/>
      <c r="U35" s="125"/>
      <c r="V35" s="125"/>
      <c r="W35" s="125"/>
      <c r="X35" s="128"/>
      <c r="Y35" s="128"/>
      <c r="Z35" s="128"/>
      <c r="AA35" s="128"/>
      <c r="AB35" s="128"/>
      <c r="AC35" s="128"/>
      <c r="AD35" s="128"/>
      <c r="AE35" s="128"/>
      <c r="AF35" s="128"/>
      <c r="AG35" s="125"/>
      <c r="AH35" s="125"/>
      <c r="AI35" s="125"/>
      <c r="AJ35" s="125"/>
      <c r="AK35" s="125"/>
      <c r="AL35" s="125"/>
      <c r="AM35" s="128"/>
      <c r="AN35" s="128"/>
      <c r="AO35" s="128"/>
      <c r="AP35" s="128"/>
      <c r="AQ35" s="128"/>
      <c r="AR35" s="128"/>
      <c r="AS35" s="128"/>
      <c r="AT35" s="128"/>
      <c r="AU35" s="125"/>
      <c r="AV35" s="125"/>
      <c r="AW35" s="128"/>
      <c r="AX35" s="128"/>
      <c r="AY35" s="128"/>
      <c r="AZ35" s="176"/>
    </row>
    <row r="36" spans="1:55" ht="53.25" customHeight="1" x14ac:dyDescent="0.25">
      <c r="A36" s="138"/>
      <c r="B36" s="139"/>
      <c r="C36" s="140"/>
      <c r="D36" s="77" t="s">
        <v>242</v>
      </c>
      <c r="E36" s="77" t="s">
        <v>34</v>
      </c>
      <c r="F36" s="77">
        <v>3.661</v>
      </c>
      <c r="G36" s="89" t="s">
        <v>243</v>
      </c>
      <c r="H36" s="79">
        <v>199</v>
      </c>
      <c r="I36" s="79">
        <f t="shared" si="3"/>
        <v>728.53899999999999</v>
      </c>
      <c r="J36" s="79" t="s">
        <v>152</v>
      </c>
      <c r="K36" s="30">
        <v>1.1200000000000001</v>
      </c>
      <c r="L36" s="79">
        <f t="shared" si="12"/>
        <v>815.96368000000007</v>
      </c>
      <c r="M36" s="116"/>
      <c r="N36" s="128"/>
      <c r="O36" s="116"/>
      <c r="P36" s="116"/>
      <c r="Q36" s="188"/>
      <c r="R36" s="125"/>
      <c r="S36" s="125"/>
      <c r="T36" s="125"/>
      <c r="U36" s="125"/>
      <c r="V36" s="125"/>
      <c r="W36" s="125"/>
      <c r="X36" s="128"/>
      <c r="Y36" s="128"/>
      <c r="Z36" s="128"/>
      <c r="AA36" s="128"/>
      <c r="AB36" s="128"/>
      <c r="AC36" s="128"/>
      <c r="AD36" s="128"/>
      <c r="AE36" s="128"/>
      <c r="AF36" s="128"/>
      <c r="AG36" s="125"/>
      <c r="AH36" s="125"/>
      <c r="AI36" s="125"/>
      <c r="AJ36" s="125"/>
      <c r="AK36" s="125"/>
      <c r="AL36" s="125"/>
      <c r="AM36" s="128"/>
      <c r="AN36" s="128"/>
      <c r="AO36" s="128"/>
      <c r="AP36" s="128"/>
      <c r="AQ36" s="128"/>
      <c r="AR36" s="128"/>
      <c r="AS36" s="128"/>
      <c r="AT36" s="128"/>
      <c r="AU36" s="125"/>
      <c r="AV36" s="125"/>
      <c r="AW36" s="128"/>
      <c r="AX36" s="128"/>
      <c r="AY36" s="128"/>
      <c r="AZ36" s="176"/>
    </row>
    <row r="37" spans="1:55" ht="52.5" customHeight="1" x14ac:dyDescent="0.25">
      <c r="A37" s="138"/>
      <c r="B37" s="139"/>
      <c r="C37" s="140"/>
      <c r="D37" s="77" t="s">
        <v>68</v>
      </c>
      <c r="E37" s="77" t="s">
        <v>41</v>
      </c>
      <c r="F37" s="77">
        <v>1</v>
      </c>
      <c r="G37" s="29" t="s">
        <v>69</v>
      </c>
      <c r="H37" s="79">
        <v>1500</v>
      </c>
      <c r="I37" s="79">
        <f t="shared" si="3"/>
        <v>1500</v>
      </c>
      <c r="J37" s="79" t="s">
        <v>36</v>
      </c>
      <c r="K37" s="30" t="s">
        <v>36</v>
      </c>
      <c r="L37" s="79">
        <f>I37</f>
        <v>1500</v>
      </c>
      <c r="M37" s="116"/>
      <c r="N37" s="129"/>
      <c r="O37" s="116"/>
      <c r="P37" s="116"/>
      <c r="Q37" s="188"/>
      <c r="R37" s="126"/>
      <c r="S37" s="126"/>
      <c r="T37" s="126"/>
      <c r="U37" s="126"/>
      <c r="V37" s="126"/>
      <c r="W37" s="126"/>
      <c r="X37" s="129"/>
      <c r="Y37" s="129"/>
      <c r="Z37" s="129"/>
      <c r="AA37" s="129"/>
      <c r="AB37" s="129"/>
      <c r="AC37" s="129"/>
      <c r="AD37" s="129"/>
      <c r="AE37" s="129"/>
      <c r="AF37" s="129"/>
      <c r="AG37" s="126"/>
      <c r="AH37" s="126"/>
      <c r="AI37" s="126"/>
      <c r="AJ37" s="126"/>
      <c r="AK37" s="126"/>
      <c r="AL37" s="126"/>
      <c r="AM37" s="129"/>
      <c r="AN37" s="129"/>
      <c r="AO37" s="129"/>
      <c r="AP37" s="129"/>
      <c r="AQ37" s="129"/>
      <c r="AR37" s="129"/>
      <c r="AS37" s="129"/>
      <c r="AT37" s="129"/>
      <c r="AU37" s="126"/>
      <c r="AV37" s="126"/>
      <c r="AW37" s="129"/>
      <c r="AX37" s="129"/>
      <c r="AY37" s="129"/>
      <c r="AZ37" s="177"/>
      <c r="BA37" s="31">
        <f t="shared" si="1"/>
        <v>0</v>
      </c>
    </row>
    <row r="38" spans="1:55" ht="52.5" customHeight="1" x14ac:dyDescent="0.35">
      <c r="A38" s="97">
        <v>5</v>
      </c>
      <c r="B38" s="174" t="s">
        <v>261</v>
      </c>
      <c r="C38" s="174">
        <v>35</v>
      </c>
      <c r="D38" s="77" t="s">
        <v>73</v>
      </c>
      <c r="E38" s="77" t="s">
        <v>33</v>
      </c>
      <c r="F38" s="77">
        <v>2</v>
      </c>
      <c r="G38" s="89" t="s">
        <v>74</v>
      </c>
      <c r="H38" s="79">
        <v>1273</v>
      </c>
      <c r="I38" s="79">
        <f t="shared" ref="I38:I40" si="13">F38*H38</f>
        <v>2546</v>
      </c>
      <c r="J38" s="79" t="s">
        <v>54</v>
      </c>
      <c r="K38" s="30">
        <v>1.1000000000000001</v>
      </c>
      <c r="L38" s="79">
        <f t="shared" ref="L38:L39" si="14">I38*K38</f>
        <v>2800.6000000000004</v>
      </c>
      <c r="M38" s="127">
        <f>L38+L39+L41+L40</f>
        <v>19889.3</v>
      </c>
      <c r="N38" s="127">
        <f>M38*0.2</f>
        <v>3977.86</v>
      </c>
      <c r="O38" s="127">
        <f>M38*1.2*1.05</f>
        <v>25060.518</v>
      </c>
      <c r="P38" s="127">
        <f>L40*1.051*1.2+(L38+L39+L41)*1.2*1.051*1.04</f>
        <v>25947.313334399994</v>
      </c>
      <c r="Q38" s="127">
        <f>P38</f>
        <v>25947.313334399994</v>
      </c>
      <c r="R38" s="124">
        <v>1.0509999999999999</v>
      </c>
      <c r="S38" s="124">
        <v>1.04</v>
      </c>
      <c r="T38" s="124">
        <v>1.0409999999999999</v>
      </c>
      <c r="U38" s="124">
        <v>1.0409999999999999</v>
      </c>
      <c r="V38" s="124">
        <v>1.0409999999999999</v>
      </c>
      <c r="W38" s="124">
        <v>1.042</v>
      </c>
      <c r="X38" s="127">
        <v>3511.1807999999996</v>
      </c>
      <c r="Y38" s="127">
        <v>22436.132534399996</v>
      </c>
      <c r="Z38" s="127">
        <v>0</v>
      </c>
      <c r="AA38" s="127">
        <v>0</v>
      </c>
      <c r="AB38" s="127">
        <v>0</v>
      </c>
      <c r="AC38" s="127">
        <v>0</v>
      </c>
      <c r="AD38" s="127">
        <f>M38*1.2</f>
        <v>23867.16</v>
      </c>
      <c r="AE38" s="127">
        <f>AM38+AN38</f>
        <v>27000.13909968</v>
      </c>
      <c r="AF38" s="127">
        <f>AM38+AN38+AO38+AP38+AQ38+AR38</f>
        <v>27000.13909968</v>
      </c>
      <c r="AG38" s="124">
        <f>AU38</f>
        <v>1.0740000000000001</v>
      </c>
      <c r="AH38" s="124">
        <f>AV38</f>
        <v>1.0620000000000001</v>
      </c>
      <c r="AI38" s="124">
        <v>1.0509999999999999</v>
      </c>
      <c r="AJ38" s="124">
        <v>1.048</v>
      </c>
      <c r="AK38" s="124">
        <v>1.0469999999999999</v>
      </c>
      <c r="AL38" s="124">
        <v>1.0469999999999999</v>
      </c>
      <c r="AM38" s="127">
        <f>L40*AG38*1.2</f>
        <v>3588.0192000000002</v>
      </c>
      <c r="AN38" s="127">
        <f>(L38+L39+L41)*1.2*AG38*AH38</f>
        <v>23412.119899680001</v>
      </c>
      <c r="AO38" s="127">
        <v>0</v>
      </c>
      <c r="AP38" s="127">
        <v>0</v>
      </c>
      <c r="AQ38" s="127">
        <v>0</v>
      </c>
      <c r="AR38" s="127">
        <v>0</v>
      </c>
      <c r="AS38" s="127">
        <f>O38</f>
        <v>25060.518</v>
      </c>
      <c r="AT38" s="127">
        <f>AW38+AX38+AY38</f>
        <v>32171.745304584001</v>
      </c>
      <c r="AU38" s="124">
        <v>1.0740000000000001</v>
      </c>
      <c r="AV38" s="124">
        <v>1.0620000000000001</v>
      </c>
      <c r="AW38" s="127">
        <f>L40*1.2*AU38</f>
        <v>3588.0191999999997</v>
      </c>
      <c r="AX38" s="127">
        <f>(AS38*AU38*AV38)</f>
        <v>28583.726104584002</v>
      </c>
      <c r="AY38" s="127">
        <v>0</v>
      </c>
      <c r="AZ38" s="175">
        <f>AS9-O9</f>
        <v>0</v>
      </c>
      <c r="BB38" s="54"/>
      <c r="BC38" s="54"/>
    </row>
    <row r="39" spans="1:55" ht="79.5" customHeight="1" x14ac:dyDescent="0.35">
      <c r="A39" s="109"/>
      <c r="B39" s="162"/>
      <c r="C39" s="162"/>
      <c r="D39" s="77" t="s">
        <v>87</v>
      </c>
      <c r="E39" s="77" t="s">
        <v>37</v>
      </c>
      <c r="F39" s="77">
        <v>2</v>
      </c>
      <c r="G39" s="89" t="s">
        <v>75</v>
      </c>
      <c r="H39" s="79">
        <v>5518</v>
      </c>
      <c r="I39" s="79">
        <f t="shared" si="13"/>
        <v>11036</v>
      </c>
      <c r="J39" s="79" t="s">
        <v>54</v>
      </c>
      <c r="K39" s="30">
        <v>1.1000000000000001</v>
      </c>
      <c r="L39" s="79">
        <f t="shared" si="14"/>
        <v>12139.6</v>
      </c>
      <c r="M39" s="128"/>
      <c r="N39" s="128"/>
      <c r="O39" s="128"/>
      <c r="P39" s="128"/>
      <c r="Q39" s="128"/>
      <c r="R39" s="125"/>
      <c r="S39" s="125"/>
      <c r="T39" s="125"/>
      <c r="U39" s="125"/>
      <c r="V39" s="125"/>
      <c r="W39" s="125"/>
      <c r="X39" s="128"/>
      <c r="Y39" s="128"/>
      <c r="Z39" s="128"/>
      <c r="AA39" s="128"/>
      <c r="AB39" s="128"/>
      <c r="AC39" s="128"/>
      <c r="AD39" s="128"/>
      <c r="AE39" s="128"/>
      <c r="AF39" s="128"/>
      <c r="AG39" s="125"/>
      <c r="AH39" s="125"/>
      <c r="AI39" s="125"/>
      <c r="AJ39" s="125"/>
      <c r="AK39" s="125"/>
      <c r="AL39" s="125"/>
      <c r="AM39" s="128"/>
      <c r="AN39" s="128"/>
      <c r="AO39" s="128"/>
      <c r="AP39" s="128"/>
      <c r="AQ39" s="128"/>
      <c r="AR39" s="128"/>
      <c r="AS39" s="128"/>
      <c r="AT39" s="128"/>
      <c r="AU39" s="125"/>
      <c r="AV39" s="125"/>
      <c r="AW39" s="128"/>
      <c r="AX39" s="128"/>
      <c r="AY39" s="128"/>
      <c r="AZ39" s="176"/>
      <c r="BB39" s="54"/>
      <c r="BC39" s="54"/>
    </row>
    <row r="40" spans="1:55" ht="79.5" customHeight="1" x14ac:dyDescent="0.35">
      <c r="A40" s="109"/>
      <c r="B40" s="162"/>
      <c r="C40" s="162"/>
      <c r="D40" s="77" t="s">
        <v>176</v>
      </c>
      <c r="E40" s="77" t="s">
        <v>177</v>
      </c>
      <c r="F40" s="77">
        <v>2</v>
      </c>
      <c r="G40" s="89" t="s">
        <v>178</v>
      </c>
      <c r="H40" s="79">
        <v>1392</v>
      </c>
      <c r="I40" s="79">
        <f t="shared" si="13"/>
        <v>2784</v>
      </c>
      <c r="J40" s="79" t="s">
        <v>36</v>
      </c>
      <c r="K40" s="30" t="s">
        <v>36</v>
      </c>
      <c r="L40" s="79">
        <f>I40</f>
        <v>2784</v>
      </c>
      <c r="M40" s="128"/>
      <c r="N40" s="128"/>
      <c r="O40" s="128"/>
      <c r="P40" s="128"/>
      <c r="Q40" s="128"/>
      <c r="R40" s="125"/>
      <c r="S40" s="125"/>
      <c r="T40" s="125"/>
      <c r="U40" s="125"/>
      <c r="V40" s="125"/>
      <c r="W40" s="125"/>
      <c r="X40" s="128"/>
      <c r="Y40" s="128"/>
      <c r="Z40" s="128"/>
      <c r="AA40" s="128"/>
      <c r="AB40" s="128"/>
      <c r="AC40" s="128"/>
      <c r="AD40" s="128"/>
      <c r="AE40" s="128"/>
      <c r="AF40" s="128"/>
      <c r="AG40" s="125"/>
      <c r="AH40" s="125"/>
      <c r="AI40" s="125"/>
      <c r="AJ40" s="125"/>
      <c r="AK40" s="125"/>
      <c r="AL40" s="125"/>
      <c r="AM40" s="128"/>
      <c r="AN40" s="128"/>
      <c r="AO40" s="128"/>
      <c r="AP40" s="128"/>
      <c r="AQ40" s="128"/>
      <c r="AR40" s="128"/>
      <c r="AS40" s="128"/>
      <c r="AT40" s="128"/>
      <c r="AU40" s="125"/>
      <c r="AV40" s="125"/>
      <c r="AW40" s="128"/>
      <c r="AX40" s="128"/>
      <c r="AY40" s="128"/>
      <c r="AZ40" s="176"/>
      <c r="BB40" s="54"/>
      <c r="BC40" s="54"/>
    </row>
    <row r="41" spans="1:55" ht="30" x14ac:dyDescent="0.35">
      <c r="A41" s="109"/>
      <c r="B41" s="162"/>
      <c r="C41" s="162"/>
      <c r="D41" s="77" t="s">
        <v>88</v>
      </c>
      <c r="E41" s="77" t="s">
        <v>37</v>
      </c>
      <c r="F41" s="77">
        <v>2</v>
      </c>
      <c r="G41" s="46" t="s">
        <v>89</v>
      </c>
      <c r="H41" s="79">
        <v>1031</v>
      </c>
      <c r="I41" s="79">
        <f>F41*H41</f>
        <v>2062</v>
      </c>
      <c r="J41" s="79" t="s">
        <v>59</v>
      </c>
      <c r="K41" s="30">
        <v>1.05</v>
      </c>
      <c r="L41" s="79">
        <f>I41*K41</f>
        <v>2165.1</v>
      </c>
      <c r="M41" s="128"/>
      <c r="N41" s="128"/>
      <c r="O41" s="128"/>
      <c r="P41" s="128"/>
      <c r="Q41" s="128"/>
      <c r="R41" s="125"/>
      <c r="S41" s="125"/>
      <c r="T41" s="125"/>
      <c r="U41" s="125"/>
      <c r="V41" s="125"/>
      <c r="W41" s="125"/>
      <c r="X41" s="128"/>
      <c r="Y41" s="128"/>
      <c r="Z41" s="128"/>
      <c r="AA41" s="128"/>
      <c r="AB41" s="128"/>
      <c r="AC41" s="128"/>
      <c r="AD41" s="128"/>
      <c r="AE41" s="128"/>
      <c r="AF41" s="128"/>
      <c r="AG41" s="125"/>
      <c r="AH41" s="125"/>
      <c r="AI41" s="125"/>
      <c r="AJ41" s="125"/>
      <c r="AK41" s="125"/>
      <c r="AL41" s="125"/>
      <c r="AM41" s="128"/>
      <c r="AN41" s="128"/>
      <c r="AO41" s="128"/>
      <c r="AP41" s="128"/>
      <c r="AQ41" s="128"/>
      <c r="AR41" s="128"/>
      <c r="AS41" s="128"/>
      <c r="AT41" s="128"/>
      <c r="AU41" s="125"/>
      <c r="AV41" s="125"/>
      <c r="AW41" s="128"/>
      <c r="AX41" s="128"/>
      <c r="AY41" s="128"/>
      <c r="AZ41" s="176"/>
      <c r="BB41" s="54"/>
      <c r="BC41" s="54"/>
    </row>
    <row r="42" spans="1:55" ht="42.75" customHeight="1" x14ac:dyDescent="0.25">
      <c r="A42" s="97">
        <v>6</v>
      </c>
      <c r="B42" s="139" t="s">
        <v>96</v>
      </c>
      <c r="C42" s="140">
        <v>110</v>
      </c>
      <c r="D42" s="77" t="s">
        <v>52</v>
      </c>
      <c r="E42" s="77" t="s">
        <v>41</v>
      </c>
      <c r="F42" s="77">
        <v>1</v>
      </c>
      <c r="G42" s="29" t="s">
        <v>98</v>
      </c>
      <c r="H42" s="79">
        <v>500</v>
      </c>
      <c r="I42" s="79">
        <f t="shared" ref="I42:I43" si="15">F42*H42</f>
        <v>500</v>
      </c>
      <c r="J42" s="79" t="s">
        <v>36</v>
      </c>
      <c r="K42" s="30" t="s">
        <v>36</v>
      </c>
      <c r="L42" s="79">
        <f>I42</f>
        <v>500</v>
      </c>
      <c r="M42" s="127">
        <f>L42+L43</f>
        <v>7899.6</v>
      </c>
      <c r="N42" s="127">
        <f>M42*0.2</f>
        <v>1579.92</v>
      </c>
      <c r="O42" s="127">
        <f>M42*1.2</f>
        <v>9479.52</v>
      </c>
      <c r="P42" s="127">
        <f>(L43*1.051*1.04+L42*1.051)*1.2</f>
        <v>10336.2705408</v>
      </c>
      <c r="Q42" s="127">
        <f>P42</f>
        <v>10336.2705408</v>
      </c>
      <c r="R42" s="178">
        <v>1.0509999999999999</v>
      </c>
      <c r="S42" s="178">
        <v>1.04</v>
      </c>
      <c r="T42" s="178">
        <v>1.0409999999999999</v>
      </c>
      <c r="U42" s="178">
        <v>1.0409999999999999</v>
      </c>
      <c r="V42" s="178">
        <v>1.0409999999999999</v>
      </c>
      <c r="W42" s="178">
        <v>1.042</v>
      </c>
      <c r="X42" s="127">
        <v>630.59999999999991</v>
      </c>
      <c r="Y42" s="127">
        <v>9705.6705407999998</v>
      </c>
      <c r="Z42" s="127">
        <v>0</v>
      </c>
      <c r="AA42" s="127">
        <v>0</v>
      </c>
      <c r="AB42" s="127">
        <v>0</v>
      </c>
      <c r="AC42" s="127">
        <v>0</v>
      </c>
      <c r="AD42" s="127">
        <f>(L42+L43)*1.2</f>
        <v>9479.52</v>
      </c>
      <c r="AE42" s="127">
        <f>AM42+AN42</f>
        <v>10772.273957760002</v>
      </c>
      <c r="AF42" s="127">
        <f>AM42+AN42+AO42+AP42+AQ42+AR42</f>
        <v>10772.273957760002</v>
      </c>
      <c r="AG42" s="124">
        <f>AU42</f>
        <v>1.0740000000000001</v>
      </c>
      <c r="AH42" s="124">
        <f>AV42</f>
        <v>1.0620000000000001</v>
      </c>
      <c r="AI42" s="124">
        <v>1.0509999999999999</v>
      </c>
      <c r="AJ42" s="124">
        <v>1.048</v>
      </c>
      <c r="AK42" s="178">
        <v>1.0469999999999999</v>
      </c>
      <c r="AL42" s="178">
        <v>1.0469999999999999</v>
      </c>
      <c r="AM42" s="127">
        <f>L42*1.2*AG42</f>
        <v>644.40000000000009</v>
      </c>
      <c r="AN42" s="127">
        <f>L43*1.2*AG42*AH42</f>
        <v>10127.873957760003</v>
      </c>
      <c r="AO42" s="127">
        <v>0</v>
      </c>
      <c r="AP42" s="127">
        <v>0</v>
      </c>
      <c r="AQ42" s="127">
        <v>0</v>
      </c>
      <c r="AR42" s="127">
        <v>0</v>
      </c>
      <c r="AS42" s="127">
        <v>9479.52</v>
      </c>
      <c r="AT42" s="127">
        <v>10772.273957760002</v>
      </c>
      <c r="AU42" s="159">
        <v>1.0740000000000001</v>
      </c>
      <c r="AV42" s="159">
        <v>1.0620000000000001</v>
      </c>
      <c r="AW42" s="127">
        <v>644.40000000000009</v>
      </c>
      <c r="AX42" s="127">
        <v>10127.873957760003</v>
      </c>
      <c r="AY42" s="127">
        <f>AS42-AD42</f>
        <v>0</v>
      </c>
      <c r="AZ42" s="175">
        <f>AS9-O9</f>
        <v>0</v>
      </c>
    </row>
    <row r="43" spans="1:55" ht="45" customHeight="1" x14ac:dyDescent="0.25">
      <c r="A43" s="98"/>
      <c r="B43" s="139"/>
      <c r="C43" s="140"/>
      <c r="D43" s="77" t="s">
        <v>97</v>
      </c>
      <c r="E43" s="47" t="s">
        <v>33</v>
      </c>
      <c r="F43" s="77">
        <v>1</v>
      </c>
      <c r="G43" s="29" t="s">
        <v>99</v>
      </c>
      <c r="H43" s="79">
        <v>7115</v>
      </c>
      <c r="I43" s="79">
        <f t="shared" si="15"/>
        <v>7115</v>
      </c>
      <c r="J43" s="47" t="s">
        <v>100</v>
      </c>
      <c r="K43" s="30">
        <v>1.04</v>
      </c>
      <c r="L43" s="79">
        <f t="shared" ref="L43:L44" si="16">I43*K43</f>
        <v>7399.6</v>
      </c>
      <c r="M43" s="129"/>
      <c r="N43" s="129"/>
      <c r="O43" s="129"/>
      <c r="P43" s="129"/>
      <c r="Q43" s="129"/>
      <c r="R43" s="178"/>
      <c r="S43" s="178"/>
      <c r="T43" s="178"/>
      <c r="U43" s="178"/>
      <c r="V43" s="178"/>
      <c r="W43" s="178"/>
      <c r="X43" s="129"/>
      <c r="Y43" s="129"/>
      <c r="Z43" s="129"/>
      <c r="AA43" s="129"/>
      <c r="AB43" s="129"/>
      <c r="AC43" s="129"/>
      <c r="AD43" s="129"/>
      <c r="AE43" s="129"/>
      <c r="AF43" s="129"/>
      <c r="AG43" s="126"/>
      <c r="AH43" s="126"/>
      <c r="AI43" s="126"/>
      <c r="AJ43" s="126"/>
      <c r="AK43" s="178"/>
      <c r="AL43" s="178"/>
      <c r="AM43" s="129"/>
      <c r="AN43" s="129"/>
      <c r="AO43" s="129"/>
      <c r="AP43" s="129"/>
      <c r="AQ43" s="129"/>
      <c r="AR43" s="129"/>
      <c r="AS43" s="129"/>
      <c r="AT43" s="129"/>
      <c r="AU43" s="161"/>
      <c r="AV43" s="161"/>
      <c r="AW43" s="129"/>
      <c r="AX43" s="129"/>
      <c r="AY43" s="129"/>
      <c r="AZ43" s="177"/>
    </row>
    <row r="44" spans="1:55" ht="77.25" customHeight="1" x14ac:dyDescent="0.25">
      <c r="A44" s="77">
        <v>7</v>
      </c>
      <c r="B44" s="89" t="s">
        <v>101</v>
      </c>
      <c r="C44" s="80">
        <v>110</v>
      </c>
      <c r="D44" s="77" t="s">
        <v>102</v>
      </c>
      <c r="E44" s="47" t="s">
        <v>33</v>
      </c>
      <c r="F44" s="77">
        <v>3</v>
      </c>
      <c r="G44" s="29" t="s">
        <v>103</v>
      </c>
      <c r="H44" s="79">
        <v>180</v>
      </c>
      <c r="I44" s="79">
        <f>F44*H44</f>
        <v>540</v>
      </c>
      <c r="J44" s="47" t="s">
        <v>100</v>
      </c>
      <c r="K44" s="30">
        <v>1.04</v>
      </c>
      <c r="L44" s="79">
        <f t="shared" si="16"/>
        <v>561.6</v>
      </c>
      <c r="M44" s="82">
        <f>L44</f>
        <v>561.6</v>
      </c>
      <c r="N44" s="82">
        <f>M44*0.2</f>
        <v>112.32000000000001</v>
      </c>
      <c r="O44" s="82">
        <f>M44*1.2</f>
        <v>673.92</v>
      </c>
      <c r="P44" s="82">
        <f>O44*1.051*1.04</f>
        <v>736.62151679999999</v>
      </c>
      <c r="Q44" s="82">
        <f>P44</f>
        <v>736.62151679999999</v>
      </c>
      <c r="R44" s="76">
        <v>1.0509999999999999</v>
      </c>
      <c r="S44" s="76">
        <v>1.04</v>
      </c>
      <c r="T44" s="76">
        <v>1.0409999999999999</v>
      </c>
      <c r="U44" s="76">
        <v>1.0409999999999999</v>
      </c>
      <c r="V44" s="76">
        <v>1.0409999999999999</v>
      </c>
      <c r="W44" s="76">
        <v>1.042</v>
      </c>
      <c r="X44" s="79">
        <v>0</v>
      </c>
      <c r="Y44" s="79">
        <v>736.62151679999999</v>
      </c>
      <c r="Z44" s="79">
        <v>0</v>
      </c>
      <c r="AA44" s="79">
        <v>0</v>
      </c>
      <c r="AB44" s="79">
        <v>0</v>
      </c>
      <c r="AC44" s="79">
        <v>0</v>
      </c>
      <c r="AD44" s="79">
        <f>L44*1.2</f>
        <v>673.92</v>
      </c>
      <c r="AE44" s="79">
        <f>AD44*AG44*AH44</f>
        <v>768.66506496</v>
      </c>
      <c r="AF44" s="79">
        <f>AM44+AN44+AO44+AP44+AQ44+AR44</f>
        <v>768.66506496</v>
      </c>
      <c r="AG44" s="76">
        <f>AU44</f>
        <v>1.0740000000000001</v>
      </c>
      <c r="AH44" s="76">
        <f>AV44</f>
        <v>1.0620000000000001</v>
      </c>
      <c r="AI44" s="76">
        <v>1.0509999999999999</v>
      </c>
      <c r="AJ44" s="76">
        <v>1.048</v>
      </c>
      <c r="AK44" s="76">
        <v>1.0469999999999999</v>
      </c>
      <c r="AL44" s="76">
        <v>1.0469999999999999</v>
      </c>
      <c r="AM44" s="79">
        <v>0</v>
      </c>
      <c r="AN44" s="79">
        <f>L44*1.2*AG44*AH44</f>
        <v>768.66506496</v>
      </c>
      <c r="AO44" s="79">
        <v>0</v>
      </c>
      <c r="AP44" s="79">
        <v>0</v>
      </c>
      <c r="AQ44" s="79">
        <v>0</v>
      </c>
      <c r="AR44" s="79">
        <v>0</v>
      </c>
      <c r="AS44" s="82">
        <v>673.92</v>
      </c>
      <c r="AT44" s="82">
        <v>768.66506496</v>
      </c>
      <c r="AU44" s="88">
        <v>1.0740000000000001</v>
      </c>
      <c r="AV44" s="88">
        <v>1.0620000000000001</v>
      </c>
      <c r="AW44" s="83">
        <v>0</v>
      </c>
      <c r="AX44" s="82">
        <v>768.66506496</v>
      </c>
      <c r="AY44" s="82">
        <f>AS44-AD44</f>
        <v>0</v>
      </c>
      <c r="AZ44" s="78">
        <f>AS9-O9</f>
        <v>0</v>
      </c>
    </row>
    <row r="45" spans="1:55" ht="42" customHeight="1" x14ac:dyDescent="0.25">
      <c r="A45" s="97">
        <v>8</v>
      </c>
      <c r="B45" s="162" t="s">
        <v>231</v>
      </c>
      <c r="C45" s="112" t="s">
        <v>104</v>
      </c>
      <c r="D45" s="74" t="s">
        <v>105</v>
      </c>
      <c r="E45" s="74" t="s">
        <v>41</v>
      </c>
      <c r="F45" s="74">
        <v>1</v>
      </c>
      <c r="G45" s="49" t="s">
        <v>98</v>
      </c>
      <c r="H45" s="82">
        <v>3000</v>
      </c>
      <c r="I45" s="82">
        <f t="shared" ref="I45:I49" si="17">F45*H45</f>
        <v>3000</v>
      </c>
      <c r="J45" s="82" t="s">
        <v>36</v>
      </c>
      <c r="K45" s="50" t="s">
        <v>36</v>
      </c>
      <c r="L45" s="82">
        <f>I45</f>
        <v>3000</v>
      </c>
      <c r="M45" s="128">
        <f>SUM(L45:L57)</f>
        <v>43664.000000000007</v>
      </c>
      <c r="N45" s="128">
        <f>M45*0.2</f>
        <v>8732.8000000000011</v>
      </c>
      <c r="O45" s="128">
        <f>M45*1.2</f>
        <v>52396.80000000001</v>
      </c>
      <c r="P45" s="128">
        <f>O45*R45*S45</f>
        <v>57271.798272000015</v>
      </c>
      <c r="Q45" s="128">
        <f>X45+Y45+Z45+AA45+AB45+AC45</f>
        <v>61507.432546616918</v>
      </c>
      <c r="R45" s="125">
        <v>1.0509999999999999</v>
      </c>
      <c r="S45" s="125">
        <v>1.04</v>
      </c>
      <c r="T45" s="125">
        <v>1.0409999999999999</v>
      </c>
      <c r="U45" s="125">
        <v>1.0409999999999999</v>
      </c>
      <c r="V45" s="125">
        <v>1.0409999999999999</v>
      </c>
      <c r="W45" s="125">
        <v>1.042</v>
      </c>
      <c r="X45" s="128">
        <v>0</v>
      </c>
      <c r="Y45" s="128">
        <v>3934.944</v>
      </c>
      <c r="Z45" s="128">
        <v>5552.3665297152011</v>
      </c>
      <c r="AA45" s="128">
        <v>52020.122016901718</v>
      </c>
      <c r="AB45" s="128">
        <v>0</v>
      </c>
      <c r="AC45" s="128">
        <v>0</v>
      </c>
      <c r="AD45" s="128">
        <f>(L45+L46+L47+L48+L49+L50+L51+L52+L53+L54+L55+L56+L57)*1.2</f>
        <v>52396.80000000001</v>
      </c>
      <c r="AE45" s="128">
        <f>AD45*AG45*AH45*AI45</f>
        <v>62811.082545638419</v>
      </c>
      <c r="AF45" s="128">
        <f>AM45+AN45+AO45+AP45+AQ45+AR45</f>
        <v>65618.869127502665</v>
      </c>
      <c r="AG45" s="125">
        <f>1.074</f>
        <v>1.0740000000000001</v>
      </c>
      <c r="AH45" s="125">
        <v>1.0620000000000001</v>
      </c>
      <c r="AI45" s="125">
        <v>1.0509999999999999</v>
      </c>
      <c r="AJ45" s="125">
        <v>1.048</v>
      </c>
      <c r="AK45" s="125">
        <v>1.0469999999999999</v>
      </c>
      <c r="AL45" s="125">
        <v>1.0469999999999999</v>
      </c>
      <c r="AM45" s="128">
        <v>0</v>
      </c>
      <c r="AN45" s="128">
        <v>0</v>
      </c>
      <c r="AO45" s="128">
        <f>L45*1.2*AG45*AH45*AI45</f>
        <v>4315.5287568000003</v>
      </c>
      <c r="AP45" s="128">
        <f>SUM(L46:L57)*1.2*AG45*AH45*AI45*AJ45</f>
        <v>61303.340370702666</v>
      </c>
      <c r="AQ45" s="128">
        <v>0</v>
      </c>
      <c r="AR45" s="128">
        <v>0</v>
      </c>
      <c r="AS45" s="79" t="s">
        <v>183</v>
      </c>
      <c r="AT45" s="79" t="s">
        <v>183</v>
      </c>
      <c r="AU45" s="79" t="s">
        <v>183</v>
      </c>
      <c r="AV45" s="79" t="s">
        <v>183</v>
      </c>
      <c r="AW45" s="79" t="s">
        <v>183</v>
      </c>
      <c r="AX45" s="79" t="s">
        <v>183</v>
      </c>
      <c r="AY45" s="79" t="s">
        <v>183</v>
      </c>
      <c r="AZ45" s="78">
        <f>AS9-O9</f>
        <v>0</v>
      </c>
    </row>
    <row r="46" spans="1:55" ht="62.25" customHeight="1" x14ac:dyDescent="0.25">
      <c r="A46" s="109"/>
      <c r="B46" s="162"/>
      <c r="C46" s="112"/>
      <c r="D46" s="74" t="s">
        <v>106</v>
      </c>
      <c r="E46" s="46" t="s">
        <v>107</v>
      </c>
      <c r="F46" s="74">
        <v>33</v>
      </c>
      <c r="G46" s="49" t="s">
        <v>108</v>
      </c>
      <c r="H46" s="82">
        <v>14</v>
      </c>
      <c r="I46" s="82">
        <f t="shared" si="17"/>
        <v>462</v>
      </c>
      <c r="J46" s="47" t="s">
        <v>100</v>
      </c>
      <c r="K46" s="50">
        <v>1.04</v>
      </c>
      <c r="L46" s="79">
        <f t="shared" ref="L46:L57" si="18">I46*K46</f>
        <v>480.48</v>
      </c>
      <c r="M46" s="128"/>
      <c r="N46" s="128"/>
      <c r="O46" s="128"/>
      <c r="P46" s="128"/>
      <c r="Q46" s="128"/>
      <c r="R46" s="125"/>
      <c r="S46" s="125"/>
      <c r="T46" s="125"/>
      <c r="U46" s="125"/>
      <c r="V46" s="125"/>
      <c r="W46" s="125"/>
      <c r="X46" s="128"/>
      <c r="Y46" s="128"/>
      <c r="Z46" s="128"/>
      <c r="AA46" s="128"/>
      <c r="AB46" s="128"/>
      <c r="AC46" s="128"/>
      <c r="AD46" s="128"/>
      <c r="AE46" s="128"/>
      <c r="AF46" s="128"/>
      <c r="AG46" s="125"/>
      <c r="AH46" s="125"/>
      <c r="AI46" s="125"/>
      <c r="AJ46" s="125"/>
      <c r="AK46" s="125"/>
      <c r="AL46" s="125"/>
      <c r="AM46" s="128"/>
      <c r="AN46" s="128"/>
      <c r="AO46" s="128"/>
      <c r="AP46" s="128"/>
      <c r="AQ46" s="128"/>
      <c r="AR46" s="128"/>
      <c r="AS46" s="79" t="s">
        <v>183</v>
      </c>
      <c r="AT46" s="79" t="s">
        <v>183</v>
      </c>
      <c r="AU46" s="79" t="s">
        <v>183</v>
      </c>
      <c r="AV46" s="79" t="s">
        <v>183</v>
      </c>
      <c r="AW46" s="79" t="s">
        <v>183</v>
      </c>
      <c r="AX46" s="79" t="s">
        <v>183</v>
      </c>
      <c r="AY46" s="79" t="s">
        <v>183</v>
      </c>
      <c r="AZ46" s="78">
        <f>AS9-O9</f>
        <v>0</v>
      </c>
    </row>
    <row r="47" spans="1:55" ht="51" customHeight="1" x14ac:dyDescent="0.25">
      <c r="A47" s="109"/>
      <c r="B47" s="162"/>
      <c r="C47" s="112"/>
      <c r="D47" s="74" t="s">
        <v>109</v>
      </c>
      <c r="E47" s="46" t="s">
        <v>107</v>
      </c>
      <c r="F47" s="74">
        <v>127</v>
      </c>
      <c r="G47" s="49" t="s">
        <v>110</v>
      </c>
      <c r="H47" s="82">
        <v>24</v>
      </c>
      <c r="I47" s="82">
        <f t="shared" si="17"/>
        <v>3048</v>
      </c>
      <c r="J47" s="47" t="s">
        <v>100</v>
      </c>
      <c r="K47" s="50">
        <v>1.04</v>
      </c>
      <c r="L47" s="79">
        <f t="shared" si="18"/>
        <v>3169.92</v>
      </c>
      <c r="M47" s="128"/>
      <c r="N47" s="128"/>
      <c r="O47" s="128"/>
      <c r="P47" s="128"/>
      <c r="Q47" s="128"/>
      <c r="R47" s="125"/>
      <c r="S47" s="125"/>
      <c r="T47" s="125"/>
      <c r="U47" s="125"/>
      <c r="V47" s="125"/>
      <c r="W47" s="125"/>
      <c r="X47" s="128"/>
      <c r="Y47" s="128"/>
      <c r="Z47" s="128"/>
      <c r="AA47" s="128"/>
      <c r="AB47" s="128"/>
      <c r="AC47" s="128"/>
      <c r="AD47" s="128"/>
      <c r="AE47" s="128"/>
      <c r="AF47" s="128"/>
      <c r="AG47" s="125"/>
      <c r="AH47" s="125"/>
      <c r="AI47" s="125"/>
      <c r="AJ47" s="125"/>
      <c r="AK47" s="125"/>
      <c r="AL47" s="125"/>
      <c r="AM47" s="128"/>
      <c r="AN47" s="128"/>
      <c r="AO47" s="128"/>
      <c r="AP47" s="128"/>
      <c r="AQ47" s="128"/>
      <c r="AR47" s="128"/>
      <c r="AS47" s="79" t="s">
        <v>183</v>
      </c>
      <c r="AT47" s="79" t="s">
        <v>183</v>
      </c>
      <c r="AU47" s="79" t="s">
        <v>183</v>
      </c>
      <c r="AV47" s="79" t="s">
        <v>183</v>
      </c>
      <c r="AW47" s="79" t="s">
        <v>183</v>
      </c>
      <c r="AX47" s="79" t="s">
        <v>183</v>
      </c>
      <c r="AY47" s="79" t="s">
        <v>183</v>
      </c>
      <c r="AZ47" s="78">
        <f>AS9-O9</f>
        <v>0</v>
      </c>
    </row>
    <row r="48" spans="1:55" ht="38.25" customHeight="1" x14ac:dyDescent="0.25">
      <c r="A48" s="109"/>
      <c r="B48" s="162"/>
      <c r="C48" s="112"/>
      <c r="D48" s="74" t="s">
        <v>111</v>
      </c>
      <c r="E48" s="47" t="s">
        <v>33</v>
      </c>
      <c r="F48" s="74">
        <v>1</v>
      </c>
      <c r="G48" s="49" t="s">
        <v>112</v>
      </c>
      <c r="H48" s="82">
        <v>174</v>
      </c>
      <c r="I48" s="82">
        <f t="shared" si="17"/>
        <v>174</v>
      </c>
      <c r="J48" s="47" t="s">
        <v>100</v>
      </c>
      <c r="K48" s="50">
        <v>1.04</v>
      </c>
      <c r="L48" s="79">
        <f t="shared" si="18"/>
        <v>180.96</v>
      </c>
      <c r="M48" s="128"/>
      <c r="N48" s="128"/>
      <c r="O48" s="128"/>
      <c r="P48" s="128"/>
      <c r="Q48" s="128"/>
      <c r="R48" s="125"/>
      <c r="S48" s="125"/>
      <c r="T48" s="125"/>
      <c r="U48" s="125"/>
      <c r="V48" s="125"/>
      <c r="W48" s="125"/>
      <c r="X48" s="128"/>
      <c r="Y48" s="128"/>
      <c r="Z48" s="128"/>
      <c r="AA48" s="128"/>
      <c r="AB48" s="128"/>
      <c r="AC48" s="128"/>
      <c r="AD48" s="128"/>
      <c r="AE48" s="128"/>
      <c r="AF48" s="128"/>
      <c r="AG48" s="125"/>
      <c r="AH48" s="125"/>
      <c r="AI48" s="125"/>
      <c r="AJ48" s="125"/>
      <c r="AK48" s="125"/>
      <c r="AL48" s="125"/>
      <c r="AM48" s="128"/>
      <c r="AN48" s="128"/>
      <c r="AO48" s="128"/>
      <c r="AP48" s="128"/>
      <c r="AQ48" s="128"/>
      <c r="AR48" s="128"/>
      <c r="AS48" s="79" t="s">
        <v>183</v>
      </c>
      <c r="AT48" s="79" t="s">
        <v>183</v>
      </c>
      <c r="AU48" s="79" t="s">
        <v>183</v>
      </c>
      <c r="AV48" s="79" t="s">
        <v>183</v>
      </c>
      <c r="AW48" s="79" t="s">
        <v>183</v>
      </c>
      <c r="AX48" s="79" t="s">
        <v>183</v>
      </c>
      <c r="AY48" s="79" t="s">
        <v>183</v>
      </c>
      <c r="AZ48" s="78">
        <f>AS9-O9</f>
        <v>0</v>
      </c>
    </row>
    <row r="49" spans="1:53" ht="40.5" customHeight="1" x14ac:dyDescent="0.25">
      <c r="A49" s="109"/>
      <c r="B49" s="162"/>
      <c r="C49" s="112"/>
      <c r="D49" s="74" t="s">
        <v>111</v>
      </c>
      <c r="E49" s="47" t="s">
        <v>33</v>
      </c>
      <c r="F49" s="74">
        <v>3</v>
      </c>
      <c r="G49" s="49" t="s">
        <v>112</v>
      </c>
      <c r="H49" s="82">
        <v>174</v>
      </c>
      <c r="I49" s="82">
        <f t="shared" si="17"/>
        <v>522</v>
      </c>
      <c r="J49" s="47" t="s">
        <v>100</v>
      </c>
      <c r="K49" s="50">
        <v>1.04</v>
      </c>
      <c r="L49" s="79">
        <f t="shared" si="18"/>
        <v>542.88</v>
      </c>
      <c r="M49" s="128"/>
      <c r="N49" s="128"/>
      <c r="O49" s="128"/>
      <c r="P49" s="128"/>
      <c r="Q49" s="128"/>
      <c r="R49" s="125"/>
      <c r="S49" s="125"/>
      <c r="T49" s="125"/>
      <c r="U49" s="125"/>
      <c r="V49" s="125"/>
      <c r="W49" s="125"/>
      <c r="X49" s="128"/>
      <c r="Y49" s="128"/>
      <c r="Z49" s="128"/>
      <c r="AA49" s="128"/>
      <c r="AB49" s="128"/>
      <c r="AC49" s="128"/>
      <c r="AD49" s="128"/>
      <c r="AE49" s="128"/>
      <c r="AF49" s="128"/>
      <c r="AG49" s="125"/>
      <c r="AH49" s="125"/>
      <c r="AI49" s="125"/>
      <c r="AJ49" s="125"/>
      <c r="AK49" s="125"/>
      <c r="AL49" s="125"/>
      <c r="AM49" s="128"/>
      <c r="AN49" s="128"/>
      <c r="AO49" s="128"/>
      <c r="AP49" s="128"/>
      <c r="AQ49" s="128"/>
      <c r="AR49" s="128"/>
      <c r="AS49" s="79" t="s">
        <v>183</v>
      </c>
      <c r="AT49" s="79" t="s">
        <v>183</v>
      </c>
      <c r="AU49" s="79" t="s">
        <v>183</v>
      </c>
      <c r="AV49" s="79" t="s">
        <v>183</v>
      </c>
      <c r="AW49" s="79" t="s">
        <v>183</v>
      </c>
      <c r="AX49" s="79" t="s">
        <v>183</v>
      </c>
      <c r="AY49" s="79" t="s">
        <v>183</v>
      </c>
      <c r="AZ49" s="78">
        <f>AS9-O9</f>
        <v>0</v>
      </c>
    </row>
    <row r="50" spans="1:53" ht="45.75" customHeight="1" x14ac:dyDescent="0.25">
      <c r="A50" s="109"/>
      <c r="B50" s="162"/>
      <c r="C50" s="112"/>
      <c r="D50" s="74" t="s">
        <v>109</v>
      </c>
      <c r="E50" s="46" t="s">
        <v>107</v>
      </c>
      <c r="F50" s="74">
        <v>452</v>
      </c>
      <c r="G50" s="49" t="s">
        <v>110</v>
      </c>
      <c r="H50" s="82">
        <v>24</v>
      </c>
      <c r="I50" s="82">
        <f>F50*H50</f>
        <v>10848</v>
      </c>
      <c r="J50" s="47" t="s">
        <v>100</v>
      </c>
      <c r="K50" s="50">
        <v>1.04</v>
      </c>
      <c r="L50" s="79">
        <f t="shared" si="18"/>
        <v>11281.92</v>
      </c>
      <c r="M50" s="128"/>
      <c r="N50" s="128"/>
      <c r="O50" s="128"/>
      <c r="P50" s="128"/>
      <c r="Q50" s="128"/>
      <c r="R50" s="125"/>
      <c r="S50" s="125"/>
      <c r="T50" s="125"/>
      <c r="U50" s="125"/>
      <c r="V50" s="125"/>
      <c r="W50" s="125"/>
      <c r="X50" s="128"/>
      <c r="Y50" s="128"/>
      <c r="Z50" s="128"/>
      <c r="AA50" s="128"/>
      <c r="AB50" s="128"/>
      <c r="AC50" s="128"/>
      <c r="AD50" s="128"/>
      <c r="AE50" s="128"/>
      <c r="AF50" s="128"/>
      <c r="AG50" s="125"/>
      <c r="AH50" s="125"/>
      <c r="AI50" s="125"/>
      <c r="AJ50" s="125"/>
      <c r="AK50" s="125"/>
      <c r="AL50" s="125"/>
      <c r="AM50" s="128"/>
      <c r="AN50" s="128"/>
      <c r="AO50" s="128"/>
      <c r="AP50" s="128"/>
      <c r="AQ50" s="128"/>
      <c r="AR50" s="128"/>
      <c r="AS50" s="79" t="s">
        <v>183</v>
      </c>
      <c r="AT50" s="79" t="s">
        <v>183</v>
      </c>
      <c r="AU50" s="79" t="s">
        <v>183</v>
      </c>
      <c r="AV50" s="79" t="s">
        <v>183</v>
      </c>
      <c r="AW50" s="79" t="s">
        <v>183</v>
      </c>
      <c r="AX50" s="79" t="s">
        <v>183</v>
      </c>
      <c r="AY50" s="79" t="s">
        <v>183</v>
      </c>
      <c r="AZ50" s="78">
        <f>AS9-O9</f>
        <v>0</v>
      </c>
    </row>
    <row r="51" spans="1:53" ht="35.25" customHeight="1" x14ac:dyDescent="0.25">
      <c r="A51" s="109"/>
      <c r="B51" s="162"/>
      <c r="C51" s="112"/>
      <c r="D51" s="74" t="s">
        <v>111</v>
      </c>
      <c r="E51" s="47" t="s">
        <v>33</v>
      </c>
      <c r="F51" s="74">
        <v>11</v>
      </c>
      <c r="G51" s="49" t="s">
        <v>112</v>
      </c>
      <c r="H51" s="82">
        <v>174</v>
      </c>
      <c r="I51" s="82">
        <f t="shared" ref="I51:I57" si="19">F51*H51</f>
        <v>1914</v>
      </c>
      <c r="J51" s="47" t="s">
        <v>100</v>
      </c>
      <c r="K51" s="50">
        <v>1.04</v>
      </c>
      <c r="L51" s="79">
        <f t="shared" si="18"/>
        <v>1990.5600000000002</v>
      </c>
      <c r="M51" s="128"/>
      <c r="N51" s="128"/>
      <c r="O51" s="128"/>
      <c r="P51" s="128"/>
      <c r="Q51" s="128"/>
      <c r="R51" s="125"/>
      <c r="S51" s="125"/>
      <c r="T51" s="125"/>
      <c r="U51" s="125"/>
      <c r="V51" s="125"/>
      <c r="W51" s="125"/>
      <c r="X51" s="128"/>
      <c r="Y51" s="128"/>
      <c r="Z51" s="128"/>
      <c r="AA51" s="128"/>
      <c r="AB51" s="128"/>
      <c r="AC51" s="128"/>
      <c r="AD51" s="128"/>
      <c r="AE51" s="128"/>
      <c r="AF51" s="128"/>
      <c r="AG51" s="125"/>
      <c r="AH51" s="125"/>
      <c r="AI51" s="125"/>
      <c r="AJ51" s="125"/>
      <c r="AK51" s="125"/>
      <c r="AL51" s="125"/>
      <c r="AM51" s="128"/>
      <c r="AN51" s="128"/>
      <c r="AO51" s="128"/>
      <c r="AP51" s="128"/>
      <c r="AQ51" s="128"/>
      <c r="AR51" s="128"/>
      <c r="AS51" s="79" t="s">
        <v>183</v>
      </c>
      <c r="AT51" s="79" t="s">
        <v>183</v>
      </c>
      <c r="AU51" s="79" t="s">
        <v>183</v>
      </c>
      <c r="AV51" s="79" t="s">
        <v>183</v>
      </c>
      <c r="AW51" s="79" t="s">
        <v>183</v>
      </c>
      <c r="AX51" s="79" t="s">
        <v>183</v>
      </c>
      <c r="AY51" s="79" t="s">
        <v>183</v>
      </c>
      <c r="AZ51" s="78">
        <f>AS9-O9</f>
        <v>0</v>
      </c>
    </row>
    <row r="52" spans="1:53" ht="41.25" customHeight="1" x14ac:dyDescent="0.25">
      <c r="A52" s="109"/>
      <c r="B52" s="162"/>
      <c r="C52" s="112"/>
      <c r="D52" s="74" t="s">
        <v>113</v>
      </c>
      <c r="E52" s="47" t="s">
        <v>33</v>
      </c>
      <c r="F52" s="74">
        <v>22</v>
      </c>
      <c r="G52" s="49" t="s">
        <v>114</v>
      </c>
      <c r="H52" s="82">
        <v>588</v>
      </c>
      <c r="I52" s="82">
        <f t="shared" si="19"/>
        <v>12936</v>
      </c>
      <c r="J52" s="47" t="s">
        <v>100</v>
      </c>
      <c r="K52" s="50">
        <v>1.04</v>
      </c>
      <c r="L52" s="79">
        <f t="shared" si="18"/>
        <v>13453.44</v>
      </c>
      <c r="M52" s="128"/>
      <c r="N52" s="128"/>
      <c r="O52" s="128"/>
      <c r="P52" s="128"/>
      <c r="Q52" s="128"/>
      <c r="R52" s="125"/>
      <c r="S52" s="125"/>
      <c r="T52" s="125"/>
      <c r="U52" s="125"/>
      <c r="V52" s="125"/>
      <c r="W52" s="125"/>
      <c r="X52" s="128"/>
      <c r="Y52" s="128"/>
      <c r="Z52" s="128"/>
      <c r="AA52" s="128"/>
      <c r="AB52" s="128"/>
      <c r="AC52" s="128"/>
      <c r="AD52" s="128"/>
      <c r="AE52" s="128"/>
      <c r="AF52" s="128"/>
      <c r="AG52" s="125"/>
      <c r="AH52" s="125"/>
      <c r="AI52" s="125"/>
      <c r="AJ52" s="125"/>
      <c r="AK52" s="125"/>
      <c r="AL52" s="125"/>
      <c r="AM52" s="128"/>
      <c r="AN52" s="128"/>
      <c r="AO52" s="128"/>
      <c r="AP52" s="128"/>
      <c r="AQ52" s="128"/>
      <c r="AR52" s="128"/>
      <c r="AS52" s="79" t="s">
        <v>183</v>
      </c>
      <c r="AT52" s="79" t="s">
        <v>183</v>
      </c>
      <c r="AU52" s="79" t="s">
        <v>183</v>
      </c>
      <c r="AV52" s="79" t="s">
        <v>183</v>
      </c>
      <c r="AW52" s="79" t="s">
        <v>183</v>
      </c>
      <c r="AX52" s="79" t="s">
        <v>183</v>
      </c>
      <c r="AY52" s="79" t="s">
        <v>183</v>
      </c>
      <c r="AZ52" s="78">
        <f>AS9-O9</f>
        <v>0</v>
      </c>
    </row>
    <row r="53" spans="1:53" ht="37.5" customHeight="1" x14ac:dyDescent="0.25">
      <c r="A53" s="109"/>
      <c r="B53" s="162"/>
      <c r="C53" s="112"/>
      <c r="D53" s="74" t="s">
        <v>115</v>
      </c>
      <c r="E53" s="47" t="s">
        <v>33</v>
      </c>
      <c r="F53" s="74">
        <v>1</v>
      </c>
      <c r="G53" s="49" t="s">
        <v>116</v>
      </c>
      <c r="H53" s="82">
        <v>1356</v>
      </c>
      <c r="I53" s="82">
        <f t="shared" si="19"/>
        <v>1356</v>
      </c>
      <c r="J53" s="47" t="s">
        <v>100</v>
      </c>
      <c r="K53" s="50">
        <v>1.04</v>
      </c>
      <c r="L53" s="79">
        <f t="shared" si="18"/>
        <v>1410.24</v>
      </c>
      <c r="M53" s="128"/>
      <c r="N53" s="128"/>
      <c r="O53" s="128"/>
      <c r="P53" s="128"/>
      <c r="Q53" s="128"/>
      <c r="R53" s="125"/>
      <c r="S53" s="125"/>
      <c r="T53" s="125"/>
      <c r="U53" s="125"/>
      <c r="V53" s="125"/>
      <c r="W53" s="125"/>
      <c r="X53" s="128"/>
      <c r="Y53" s="128"/>
      <c r="Z53" s="128"/>
      <c r="AA53" s="128"/>
      <c r="AB53" s="128"/>
      <c r="AC53" s="128"/>
      <c r="AD53" s="128"/>
      <c r="AE53" s="128"/>
      <c r="AF53" s="128"/>
      <c r="AG53" s="125"/>
      <c r="AH53" s="125"/>
      <c r="AI53" s="125"/>
      <c r="AJ53" s="125"/>
      <c r="AK53" s="125"/>
      <c r="AL53" s="125"/>
      <c r="AM53" s="128"/>
      <c r="AN53" s="128"/>
      <c r="AO53" s="128"/>
      <c r="AP53" s="128"/>
      <c r="AQ53" s="128"/>
      <c r="AR53" s="128"/>
      <c r="AS53" s="79" t="s">
        <v>183</v>
      </c>
      <c r="AT53" s="79" t="s">
        <v>183</v>
      </c>
      <c r="AU53" s="79" t="s">
        <v>183</v>
      </c>
      <c r="AV53" s="79" t="s">
        <v>183</v>
      </c>
      <c r="AW53" s="79" t="s">
        <v>183</v>
      </c>
      <c r="AX53" s="79" t="s">
        <v>183</v>
      </c>
      <c r="AY53" s="79" t="s">
        <v>183</v>
      </c>
      <c r="AZ53" s="78">
        <f>AS9-O9</f>
        <v>0</v>
      </c>
    </row>
    <row r="54" spans="1:53" ht="41.25" customHeight="1" x14ac:dyDescent="0.25">
      <c r="A54" s="109"/>
      <c r="B54" s="162"/>
      <c r="C54" s="112"/>
      <c r="D54" s="74" t="s">
        <v>117</v>
      </c>
      <c r="E54" s="47" t="s">
        <v>33</v>
      </c>
      <c r="F54" s="74">
        <v>1</v>
      </c>
      <c r="G54" s="49" t="s">
        <v>118</v>
      </c>
      <c r="H54" s="82">
        <v>1571</v>
      </c>
      <c r="I54" s="82">
        <f t="shared" si="19"/>
        <v>1571</v>
      </c>
      <c r="J54" s="47" t="s">
        <v>100</v>
      </c>
      <c r="K54" s="50">
        <v>1.04</v>
      </c>
      <c r="L54" s="79">
        <f t="shared" si="18"/>
        <v>1633.8400000000001</v>
      </c>
      <c r="M54" s="128"/>
      <c r="N54" s="128"/>
      <c r="O54" s="128"/>
      <c r="P54" s="128"/>
      <c r="Q54" s="128"/>
      <c r="R54" s="125"/>
      <c r="S54" s="125"/>
      <c r="T54" s="125"/>
      <c r="U54" s="125"/>
      <c r="V54" s="125"/>
      <c r="W54" s="125"/>
      <c r="X54" s="128"/>
      <c r="Y54" s="128"/>
      <c r="Z54" s="128"/>
      <c r="AA54" s="128"/>
      <c r="AB54" s="128"/>
      <c r="AC54" s="128"/>
      <c r="AD54" s="128"/>
      <c r="AE54" s="128"/>
      <c r="AF54" s="128"/>
      <c r="AG54" s="125"/>
      <c r="AH54" s="125"/>
      <c r="AI54" s="125"/>
      <c r="AJ54" s="125"/>
      <c r="AK54" s="125"/>
      <c r="AL54" s="125"/>
      <c r="AM54" s="128"/>
      <c r="AN54" s="128"/>
      <c r="AO54" s="128"/>
      <c r="AP54" s="128"/>
      <c r="AQ54" s="128"/>
      <c r="AR54" s="128"/>
      <c r="AS54" s="79" t="s">
        <v>183</v>
      </c>
      <c r="AT54" s="79" t="s">
        <v>183</v>
      </c>
      <c r="AU54" s="79" t="s">
        <v>183</v>
      </c>
      <c r="AV54" s="79" t="s">
        <v>183</v>
      </c>
      <c r="AW54" s="79" t="s">
        <v>183</v>
      </c>
      <c r="AX54" s="79" t="s">
        <v>183</v>
      </c>
      <c r="AY54" s="79" t="s">
        <v>183</v>
      </c>
      <c r="AZ54" s="78">
        <f>AS9-O9</f>
        <v>0</v>
      </c>
    </row>
    <row r="55" spans="1:53" ht="42" customHeight="1" x14ac:dyDescent="0.25">
      <c r="A55" s="109"/>
      <c r="B55" s="162"/>
      <c r="C55" s="112"/>
      <c r="D55" s="74" t="s">
        <v>119</v>
      </c>
      <c r="E55" s="47" t="s">
        <v>33</v>
      </c>
      <c r="F55" s="74">
        <v>1</v>
      </c>
      <c r="G55" s="49" t="s">
        <v>120</v>
      </c>
      <c r="H55" s="82">
        <v>3485</v>
      </c>
      <c r="I55" s="82">
        <f t="shared" si="19"/>
        <v>3485</v>
      </c>
      <c r="J55" s="47" t="s">
        <v>100</v>
      </c>
      <c r="K55" s="50">
        <v>1.04</v>
      </c>
      <c r="L55" s="79">
        <f t="shared" si="18"/>
        <v>3624.4</v>
      </c>
      <c r="M55" s="128"/>
      <c r="N55" s="128"/>
      <c r="O55" s="128"/>
      <c r="P55" s="128"/>
      <c r="Q55" s="128"/>
      <c r="R55" s="125"/>
      <c r="S55" s="125"/>
      <c r="T55" s="125"/>
      <c r="U55" s="125"/>
      <c r="V55" s="125"/>
      <c r="W55" s="125"/>
      <c r="X55" s="128"/>
      <c r="Y55" s="128"/>
      <c r="Z55" s="128"/>
      <c r="AA55" s="128"/>
      <c r="AB55" s="128"/>
      <c r="AC55" s="128"/>
      <c r="AD55" s="128"/>
      <c r="AE55" s="128"/>
      <c r="AF55" s="128"/>
      <c r="AG55" s="125"/>
      <c r="AH55" s="125"/>
      <c r="AI55" s="125"/>
      <c r="AJ55" s="125"/>
      <c r="AK55" s="125"/>
      <c r="AL55" s="125"/>
      <c r="AM55" s="128"/>
      <c r="AN55" s="128"/>
      <c r="AO55" s="128"/>
      <c r="AP55" s="128"/>
      <c r="AQ55" s="128"/>
      <c r="AR55" s="128"/>
      <c r="AS55" s="79" t="s">
        <v>183</v>
      </c>
      <c r="AT55" s="79" t="s">
        <v>183</v>
      </c>
      <c r="AU55" s="79" t="s">
        <v>183</v>
      </c>
      <c r="AV55" s="79" t="s">
        <v>183</v>
      </c>
      <c r="AW55" s="79" t="s">
        <v>183</v>
      </c>
      <c r="AX55" s="79" t="s">
        <v>183</v>
      </c>
      <c r="AY55" s="79" t="s">
        <v>183</v>
      </c>
      <c r="AZ55" s="78">
        <f>AS9-O9</f>
        <v>0</v>
      </c>
    </row>
    <row r="56" spans="1:53" ht="49.5" customHeight="1" x14ac:dyDescent="0.25">
      <c r="A56" s="109"/>
      <c r="B56" s="162"/>
      <c r="C56" s="112"/>
      <c r="D56" s="74" t="s">
        <v>121</v>
      </c>
      <c r="E56" s="47" t="s">
        <v>33</v>
      </c>
      <c r="F56" s="74">
        <v>1</v>
      </c>
      <c r="G56" s="49" t="s">
        <v>122</v>
      </c>
      <c r="H56" s="82">
        <v>2418</v>
      </c>
      <c r="I56" s="82">
        <f t="shared" si="19"/>
        <v>2418</v>
      </c>
      <c r="J56" s="47" t="s">
        <v>100</v>
      </c>
      <c r="K56" s="50">
        <v>1.04</v>
      </c>
      <c r="L56" s="79">
        <f>I56*K56</f>
        <v>2514.7200000000003</v>
      </c>
      <c r="M56" s="128"/>
      <c r="N56" s="128"/>
      <c r="O56" s="128"/>
      <c r="P56" s="128"/>
      <c r="Q56" s="128"/>
      <c r="R56" s="125"/>
      <c r="S56" s="125"/>
      <c r="T56" s="125"/>
      <c r="U56" s="125"/>
      <c r="V56" s="125"/>
      <c r="W56" s="125"/>
      <c r="X56" s="128"/>
      <c r="Y56" s="128"/>
      <c r="Z56" s="128"/>
      <c r="AA56" s="128"/>
      <c r="AB56" s="128"/>
      <c r="AC56" s="128"/>
      <c r="AD56" s="128"/>
      <c r="AE56" s="128"/>
      <c r="AF56" s="128"/>
      <c r="AG56" s="125"/>
      <c r="AH56" s="125"/>
      <c r="AI56" s="125"/>
      <c r="AJ56" s="125"/>
      <c r="AK56" s="125"/>
      <c r="AL56" s="125"/>
      <c r="AM56" s="128"/>
      <c r="AN56" s="128"/>
      <c r="AO56" s="128"/>
      <c r="AP56" s="128"/>
      <c r="AQ56" s="128"/>
      <c r="AR56" s="128"/>
      <c r="AS56" s="79" t="s">
        <v>183</v>
      </c>
      <c r="AT56" s="79" t="s">
        <v>183</v>
      </c>
      <c r="AU56" s="79" t="s">
        <v>183</v>
      </c>
      <c r="AV56" s="79" t="s">
        <v>183</v>
      </c>
      <c r="AW56" s="79" t="s">
        <v>183</v>
      </c>
      <c r="AX56" s="79" t="s">
        <v>183</v>
      </c>
      <c r="AY56" s="79" t="s">
        <v>183</v>
      </c>
      <c r="AZ56" s="78">
        <f>AS9-O9</f>
        <v>0</v>
      </c>
    </row>
    <row r="57" spans="1:53" ht="42" customHeight="1" x14ac:dyDescent="0.25">
      <c r="A57" s="98"/>
      <c r="B57" s="163"/>
      <c r="C57" s="104"/>
      <c r="D57" s="74" t="s">
        <v>123</v>
      </c>
      <c r="E57" s="47" t="s">
        <v>33</v>
      </c>
      <c r="F57" s="74">
        <v>1</v>
      </c>
      <c r="G57" s="49" t="s">
        <v>124</v>
      </c>
      <c r="H57" s="82">
        <v>366</v>
      </c>
      <c r="I57" s="82">
        <f t="shared" si="19"/>
        <v>366</v>
      </c>
      <c r="J57" s="47" t="s">
        <v>100</v>
      </c>
      <c r="K57" s="50">
        <v>1.04</v>
      </c>
      <c r="L57" s="79">
        <f t="shared" si="18"/>
        <v>380.64</v>
      </c>
      <c r="M57" s="129"/>
      <c r="N57" s="129"/>
      <c r="O57" s="129"/>
      <c r="P57" s="129"/>
      <c r="Q57" s="129"/>
      <c r="R57" s="126"/>
      <c r="S57" s="126"/>
      <c r="T57" s="126"/>
      <c r="U57" s="126"/>
      <c r="V57" s="126"/>
      <c r="W57" s="126"/>
      <c r="X57" s="129"/>
      <c r="Y57" s="129"/>
      <c r="Z57" s="129"/>
      <c r="AA57" s="129"/>
      <c r="AB57" s="129"/>
      <c r="AC57" s="129"/>
      <c r="AD57" s="129"/>
      <c r="AE57" s="129"/>
      <c r="AF57" s="129"/>
      <c r="AG57" s="126"/>
      <c r="AH57" s="126"/>
      <c r="AI57" s="126"/>
      <c r="AJ57" s="126"/>
      <c r="AK57" s="126"/>
      <c r="AL57" s="126"/>
      <c r="AM57" s="129"/>
      <c r="AN57" s="129"/>
      <c r="AO57" s="129"/>
      <c r="AP57" s="129"/>
      <c r="AQ57" s="129"/>
      <c r="AR57" s="129"/>
      <c r="AS57" s="79" t="s">
        <v>183</v>
      </c>
      <c r="AT57" s="79" t="s">
        <v>183</v>
      </c>
      <c r="AU57" s="79" t="s">
        <v>183</v>
      </c>
      <c r="AV57" s="79" t="s">
        <v>183</v>
      </c>
      <c r="AW57" s="79" t="s">
        <v>183</v>
      </c>
      <c r="AX57" s="79" t="s">
        <v>183</v>
      </c>
      <c r="AY57" s="79" t="s">
        <v>183</v>
      </c>
      <c r="AZ57" s="78">
        <f>AS9-O9</f>
        <v>0</v>
      </c>
    </row>
    <row r="58" spans="1:53" s="60" customFormat="1" ht="75" x14ac:dyDescent="0.25">
      <c r="A58" s="182">
        <v>9</v>
      </c>
      <c r="B58" s="179" t="s">
        <v>267</v>
      </c>
      <c r="C58" s="165">
        <v>110</v>
      </c>
      <c r="D58" s="93" t="s">
        <v>125</v>
      </c>
      <c r="E58" s="93" t="s">
        <v>34</v>
      </c>
      <c r="F58" s="93">
        <v>12.57</v>
      </c>
      <c r="G58" s="57" t="s">
        <v>126</v>
      </c>
      <c r="H58" s="58">
        <v>1944</v>
      </c>
      <c r="I58" s="58">
        <v>24436.080000000002</v>
      </c>
      <c r="J58" s="58" t="s">
        <v>55</v>
      </c>
      <c r="K58" s="59">
        <v>1.05</v>
      </c>
      <c r="L58" s="58">
        <v>25657.884000000002</v>
      </c>
      <c r="M58" s="168">
        <f>L58+L59+L60+L61+L62+L63+L65+L64</f>
        <v>153996.57370000001</v>
      </c>
      <c r="N58" s="168">
        <f>M58*0.2</f>
        <v>30799.314740000002</v>
      </c>
      <c r="O58" s="168">
        <f>M58+N58</f>
        <v>184795.88844000001</v>
      </c>
      <c r="P58" s="168">
        <v>201711.8339004576</v>
      </c>
      <c r="Q58" s="168">
        <v>205704.726195417</v>
      </c>
      <c r="R58" s="159">
        <v>1.0509999999999999</v>
      </c>
      <c r="S58" s="159">
        <v>1.04</v>
      </c>
      <c r="T58" s="159">
        <v>1.0409999999999999</v>
      </c>
      <c r="U58" s="159">
        <v>1.0409999999999999</v>
      </c>
      <c r="V58" s="159">
        <v>1.0409999999999999</v>
      </c>
      <c r="W58" s="159">
        <v>1.042</v>
      </c>
      <c r="X58" s="168">
        <v>0</v>
      </c>
      <c r="Y58" s="168">
        <f>P58*S58</f>
        <v>209780.30725647591</v>
      </c>
      <c r="Z58" s="168">
        <v>0</v>
      </c>
      <c r="AA58" s="168">
        <v>0</v>
      </c>
      <c r="AB58" s="168">
        <v>0</v>
      </c>
      <c r="AC58" s="168">
        <v>0</v>
      </c>
      <c r="AD58" s="168">
        <f>O58</f>
        <v>184795.88844000001</v>
      </c>
      <c r="AE58" s="168">
        <f>AM58+AN58+AO58</f>
        <v>209421.97128117678</v>
      </c>
      <c r="AF58" s="168">
        <f>AM58+AN58+AO58+AP58+AQ58+AR58</f>
        <v>209421.97128117678</v>
      </c>
      <c r="AG58" s="159">
        <v>1.0740000000000001</v>
      </c>
      <c r="AH58" s="159">
        <f>AV58</f>
        <v>1.0369999999999999</v>
      </c>
      <c r="AI58" s="159">
        <v>1.0389999999999999</v>
      </c>
      <c r="AJ58" s="159">
        <v>1.042</v>
      </c>
      <c r="AK58" s="159">
        <v>1.0429999999999999</v>
      </c>
      <c r="AL58" s="159">
        <v>1.0429999999999999</v>
      </c>
      <c r="AM58" s="168">
        <f>L65*1.2*AG58</f>
        <v>7088.4000000000005</v>
      </c>
      <c r="AN58" s="168">
        <f>SUM(L58:L64)*1.2*AG58*AH58*0.5</f>
        <v>99231.766199694364</v>
      </c>
      <c r="AO58" s="168">
        <f>SUM(L58:L64)*1.2*AG58*AH58*AI58*0.5</f>
        <v>103101.80508148244</v>
      </c>
      <c r="AP58" s="168">
        <v>0</v>
      </c>
      <c r="AQ58" s="168">
        <v>0</v>
      </c>
      <c r="AR58" s="168">
        <v>0</v>
      </c>
      <c r="AS58" s="168">
        <v>89097.944220000005</v>
      </c>
      <c r="AT58" s="168">
        <v>106320.16619969436</v>
      </c>
      <c r="AU58" s="159">
        <v>1.0740000000000001</v>
      </c>
      <c r="AV58" s="159">
        <v>1.0369999999999999</v>
      </c>
      <c r="AW58" s="168">
        <v>7088.4000000000005</v>
      </c>
      <c r="AX58" s="168">
        <v>99231.766199694364</v>
      </c>
      <c r="AY58" s="168">
        <v>0</v>
      </c>
      <c r="AZ58" s="171">
        <f>AS9-O9</f>
        <v>0</v>
      </c>
      <c r="BA58" s="60">
        <f t="shared" ref="BA58:BA85" si="20">Q58/1.2</f>
        <v>171420.6051628475</v>
      </c>
    </row>
    <row r="59" spans="1:53" s="60" customFormat="1" ht="75" x14ac:dyDescent="0.25">
      <c r="A59" s="183"/>
      <c r="B59" s="180"/>
      <c r="C59" s="166"/>
      <c r="D59" s="93" t="s">
        <v>127</v>
      </c>
      <c r="E59" s="93" t="s">
        <v>45</v>
      </c>
      <c r="F59" s="93">
        <v>263.48</v>
      </c>
      <c r="G59" s="57" t="s">
        <v>126</v>
      </c>
      <c r="H59" s="58">
        <v>101</v>
      </c>
      <c r="I59" s="58">
        <v>26611.480000000003</v>
      </c>
      <c r="J59" s="58" t="s">
        <v>55</v>
      </c>
      <c r="K59" s="59">
        <v>1.05</v>
      </c>
      <c r="L59" s="58">
        <v>27942.054000000004</v>
      </c>
      <c r="M59" s="169"/>
      <c r="N59" s="169"/>
      <c r="O59" s="169"/>
      <c r="P59" s="169"/>
      <c r="Q59" s="169"/>
      <c r="R59" s="160"/>
      <c r="S59" s="160">
        <v>1</v>
      </c>
      <c r="T59" s="160"/>
      <c r="U59" s="160"/>
      <c r="V59" s="160"/>
      <c r="W59" s="160"/>
      <c r="X59" s="169"/>
      <c r="Y59" s="169"/>
      <c r="Z59" s="169"/>
      <c r="AA59" s="169"/>
      <c r="AB59" s="169"/>
      <c r="AC59" s="169"/>
      <c r="AD59" s="169"/>
      <c r="AE59" s="169"/>
      <c r="AF59" s="169"/>
      <c r="AG59" s="160"/>
      <c r="AH59" s="160"/>
      <c r="AI59" s="160"/>
      <c r="AJ59" s="160"/>
      <c r="AK59" s="160"/>
      <c r="AL59" s="160"/>
      <c r="AM59" s="169"/>
      <c r="AN59" s="169"/>
      <c r="AO59" s="169"/>
      <c r="AP59" s="169"/>
      <c r="AQ59" s="169"/>
      <c r="AR59" s="169"/>
      <c r="AS59" s="169"/>
      <c r="AT59" s="169"/>
      <c r="AU59" s="160"/>
      <c r="AV59" s="160"/>
      <c r="AW59" s="169"/>
      <c r="AX59" s="169"/>
      <c r="AY59" s="169"/>
      <c r="AZ59" s="172"/>
      <c r="BA59" s="60">
        <f t="shared" si="20"/>
        <v>0</v>
      </c>
    </row>
    <row r="60" spans="1:53" s="60" customFormat="1" ht="30" x14ac:dyDescent="0.25">
      <c r="A60" s="183"/>
      <c r="B60" s="180"/>
      <c r="C60" s="166"/>
      <c r="D60" s="93" t="s">
        <v>128</v>
      </c>
      <c r="E60" s="93" t="s">
        <v>34</v>
      </c>
      <c r="F60" s="93">
        <v>12.57</v>
      </c>
      <c r="G60" s="57" t="s">
        <v>129</v>
      </c>
      <c r="H60" s="58">
        <v>716</v>
      </c>
      <c r="I60" s="58">
        <v>9000.1200000000008</v>
      </c>
      <c r="J60" s="58" t="s">
        <v>55</v>
      </c>
      <c r="K60" s="59">
        <v>1.05</v>
      </c>
      <c r="L60" s="58">
        <v>9450.126000000002</v>
      </c>
      <c r="M60" s="169"/>
      <c r="N60" s="169"/>
      <c r="O60" s="169"/>
      <c r="P60" s="169"/>
      <c r="Q60" s="169"/>
      <c r="R60" s="160"/>
      <c r="S60" s="160"/>
      <c r="T60" s="160"/>
      <c r="U60" s="160"/>
      <c r="V60" s="160"/>
      <c r="W60" s="160"/>
      <c r="X60" s="169"/>
      <c r="Y60" s="169"/>
      <c r="Z60" s="169"/>
      <c r="AA60" s="169"/>
      <c r="AB60" s="169"/>
      <c r="AC60" s="169"/>
      <c r="AD60" s="169"/>
      <c r="AE60" s="169"/>
      <c r="AF60" s="169"/>
      <c r="AG60" s="160"/>
      <c r="AH60" s="160"/>
      <c r="AI60" s="160"/>
      <c r="AJ60" s="160"/>
      <c r="AK60" s="160"/>
      <c r="AL60" s="160"/>
      <c r="AM60" s="169"/>
      <c r="AN60" s="169"/>
      <c r="AO60" s="169"/>
      <c r="AP60" s="169"/>
      <c r="AQ60" s="169"/>
      <c r="AR60" s="169"/>
      <c r="AS60" s="169"/>
      <c r="AT60" s="169"/>
      <c r="AU60" s="160"/>
      <c r="AV60" s="160"/>
      <c r="AW60" s="169"/>
      <c r="AX60" s="169"/>
      <c r="AY60" s="169"/>
      <c r="AZ60" s="172"/>
      <c r="BA60" s="60">
        <f t="shared" si="20"/>
        <v>0</v>
      </c>
    </row>
    <row r="61" spans="1:53" s="60" customFormat="1" x14ac:dyDescent="0.25">
      <c r="A61" s="183"/>
      <c r="B61" s="180"/>
      <c r="C61" s="166"/>
      <c r="D61" s="93" t="s">
        <v>130</v>
      </c>
      <c r="E61" s="93" t="s">
        <v>34</v>
      </c>
      <c r="F61" s="93">
        <v>13.44</v>
      </c>
      <c r="G61" s="57" t="s">
        <v>131</v>
      </c>
      <c r="H61" s="58">
        <v>388</v>
      </c>
      <c r="I61" s="58">
        <v>5214.72</v>
      </c>
      <c r="J61" s="58" t="s">
        <v>55</v>
      </c>
      <c r="K61" s="59">
        <v>1.05</v>
      </c>
      <c r="L61" s="58">
        <v>5475.4560000000001</v>
      </c>
      <c r="M61" s="169"/>
      <c r="N61" s="169"/>
      <c r="O61" s="169"/>
      <c r="P61" s="169"/>
      <c r="Q61" s="169"/>
      <c r="R61" s="160"/>
      <c r="S61" s="160"/>
      <c r="T61" s="160"/>
      <c r="U61" s="160"/>
      <c r="V61" s="160"/>
      <c r="W61" s="160"/>
      <c r="X61" s="169"/>
      <c r="Y61" s="169"/>
      <c r="Z61" s="169"/>
      <c r="AA61" s="169"/>
      <c r="AB61" s="169"/>
      <c r="AC61" s="169"/>
      <c r="AD61" s="169"/>
      <c r="AE61" s="169"/>
      <c r="AF61" s="169"/>
      <c r="AG61" s="160"/>
      <c r="AH61" s="160"/>
      <c r="AI61" s="160"/>
      <c r="AJ61" s="160"/>
      <c r="AK61" s="160"/>
      <c r="AL61" s="160"/>
      <c r="AM61" s="169"/>
      <c r="AN61" s="169"/>
      <c r="AO61" s="169"/>
      <c r="AP61" s="169"/>
      <c r="AQ61" s="169"/>
      <c r="AR61" s="169"/>
      <c r="AS61" s="169"/>
      <c r="AT61" s="169"/>
      <c r="AU61" s="160"/>
      <c r="AV61" s="160"/>
      <c r="AW61" s="169"/>
      <c r="AX61" s="169"/>
      <c r="AY61" s="169"/>
      <c r="AZ61" s="172"/>
      <c r="BA61" s="60">
        <f t="shared" si="20"/>
        <v>0</v>
      </c>
    </row>
    <row r="62" spans="1:53" s="60" customFormat="1" ht="75" x14ac:dyDescent="0.25">
      <c r="A62" s="183"/>
      <c r="B62" s="180"/>
      <c r="C62" s="166"/>
      <c r="D62" s="93" t="s">
        <v>132</v>
      </c>
      <c r="E62" s="93" t="s">
        <v>49</v>
      </c>
      <c r="F62" s="93">
        <v>62.85</v>
      </c>
      <c r="G62" s="57" t="s">
        <v>51</v>
      </c>
      <c r="H62" s="58">
        <v>261</v>
      </c>
      <c r="I62" s="58">
        <v>16403.850000000002</v>
      </c>
      <c r="J62" s="58" t="s">
        <v>36</v>
      </c>
      <c r="K62" s="59" t="s">
        <v>36</v>
      </c>
      <c r="L62" s="58">
        <v>16403.850000000002</v>
      </c>
      <c r="M62" s="169"/>
      <c r="N62" s="169"/>
      <c r="O62" s="169"/>
      <c r="P62" s="169"/>
      <c r="Q62" s="169"/>
      <c r="R62" s="160"/>
      <c r="S62" s="160"/>
      <c r="T62" s="160"/>
      <c r="U62" s="160"/>
      <c r="V62" s="160"/>
      <c r="W62" s="160"/>
      <c r="X62" s="169"/>
      <c r="Y62" s="169"/>
      <c r="Z62" s="169"/>
      <c r="AA62" s="169"/>
      <c r="AB62" s="169"/>
      <c r="AC62" s="169"/>
      <c r="AD62" s="169"/>
      <c r="AE62" s="169"/>
      <c r="AF62" s="169"/>
      <c r="AG62" s="160"/>
      <c r="AH62" s="160"/>
      <c r="AI62" s="160"/>
      <c r="AJ62" s="160"/>
      <c r="AK62" s="160"/>
      <c r="AL62" s="160"/>
      <c r="AM62" s="169"/>
      <c r="AN62" s="169"/>
      <c r="AO62" s="169"/>
      <c r="AP62" s="169"/>
      <c r="AQ62" s="169"/>
      <c r="AR62" s="169"/>
      <c r="AS62" s="169"/>
      <c r="AT62" s="169"/>
      <c r="AU62" s="160"/>
      <c r="AV62" s="160"/>
      <c r="AW62" s="169"/>
      <c r="AX62" s="169"/>
      <c r="AY62" s="169"/>
      <c r="AZ62" s="172"/>
      <c r="BA62" s="60">
        <f t="shared" si="20"/>
        <v>0</v>
      </c>
    </row>
    <row r="63" spans="1:53" s="60" customFormat="1" x14ac:dyDescent="0.25">
      <c r="A63" s="183"/>
      <c r="B63" s="180"/>
      <c r="C63" s="166"/>
      <c r="D63" s="93" t="s">
        <v>134</v>
      </c>
      <c r="E63" s="93">
        <v>100</v>
      </c>
      <c r="F63" s="93">
        <v>3</v>
      </c>
      <c r="G63" s="57"/>
      <c r="H63" s="58">
        <v>6.9</v>
      </c>
      <c r="I63" s="58">
        <v>20.700000000000003</v>
      </c>
      <c r="J63" s="58" t="s">
        <v>36</v>
      </c>
      <c r="K63" s="59" t="s">
        <v>36</v>
      </c>
      <c r="L63" s="58">
        <v>20.700000000000003</v>
      </c>
      <c r="M63" s="169"/>
      <c r="N63" s="169"/>
      <c r="O63" s="169"/>
      <c r="P63" s="169"/>
      <c r="Q63" s="169"/>
      <c r="R63" s="160"/>
      <c r="S63" s="160"/>
      <c r="T63" s="160"/>
      <c r="U63" s="160"/>
      <c r="V63" s="160"/>
      <c r="W63" s="160"/>
      <c r="X63" s="169"/>
      <c r="Y63" s="169"/>
      <c r="Z63" s="169"/>
      <c r="AA63" s="169"/>
      <c r="AB63" s="169"/>
      <c r="AC63" s="169"/>
      <c r="AD63" s="169"/>
      <c r="AE63" s="169"/>
      <c r="AF63" s="169"/>
      <c r="AG63" s="160"/>
      <c r="AH63" s="160"/>
      <c r="AI63" s="160"/>
      <c r="AJ63" s="160"/>
      <c r="AK63" s="160"/>
      <c r="AL63" s="160"/>
      <c r="AM63" s="169"/>
      <c r="AN63" s="169"/>
      <c r="AO63" s="169"/>
      <c r="AP63" s="169"/>
      <c r="AQ63" s="169"/>
      <c r="AR63" s="169"/>
      <c r="AS63" s="169"/>
      <c r="AT63" s="169"/>
      <c r="AU63" s="160"/>
      <c r="AV63" s="160"/>
      <c r="AW63" s="169"/>
      <c r="AX63" s="169"/>
      <c r="AY63" s="169"/>
      <c r="AZ63" s="172"/>
      <c r="BA63" s="60">
        <f t="shared" si="20"/>
        <v>0</v>
      </c>
    </row>
    <row r="64" spans="1:53" s="60" customFormat="1" ht="75" x14ac:dyDescent="0.25">
      <c r="A64" s="183"/>
      <c r="B64" s="180"/>
      <c r="C64" s="166"/>
      <c r="D64" s="74" t="s">
        <v>217</v>
      </c>
      <c r="E64" s="47" t="s">
        <v>34</v>
      </c>
      <c r="F64" s="74">
        <v>12.57</v>
      </c>
      <c r="G64" s="57" t="s">
        <v>126</v>
      </c>
      <c r="H64" s="58">
        <v>2267</v>
      </c>
      <c r="I64" s="58">
        <f t="shared" ref="I64" si="21">F64*H64</f>
        <v>28496.190000000002</v>
      </c>
      <c r="J64" s="58" t="s">
        <v>228</v>
      </c>
      <c r="K64" s="59">
        <v>2.23</v>
      </c>
      <c r="L64" s="58">
        <f>I64*K64</f>
        <v>63546.503700000001</v>
      </c>
      <c r="M64" s="169"/>
      <c r="N64" s="169"/>
      <c r="O64" s="169"/>
      <c r="P64" s="169"/>
      <c r="Q64" s="169"/>
      <c r="R64" s="160"/>
      <c r="S64" s="160"/>
      <c r="T64" s="160"/>
      <c r="U64" s="160"/>
      <c r="V64" s="160"/>
      <c r="W64" s="160"/>
      <c r="X64" s="169"/>
      <c r="Y64" s="169"/>
      <c r="Z64" s="169"/>
      <c r="AA64" s="169"/>
      <c r="AB64" s="169"/>
      <c r="AC64" s="169"/>
      <c r="AD64" s="169"/>
      <c r="AE64" s="169"/>
      <c r="AF64" s="169"/>
      <c r="AG64" s="160"/>
      <c r="AH64" s="160"/>
      <c r="AI64" s="160"/>
      <c r="AJ64" s="160"/>
      <c r="AK64" s="160"/>
      <c r="AL64" s="160"/>
      <c r="AM64" s="169"/>
      <c r="AN64" s="169"/>
      <c r="AO64" s="169"/>
      <c r="AP64" s="169"/>
      <c r="AQ64" s="169"/>
      <c r="AR64" s="169"/>
      <c r="AS64" s="169"/>
      <c r="AT64" s="169"/>
      <c r="AU64" s="160"/>
      <c r="AV64" s="160"/>
      <c r="AW64" s="169"/>
      <c r="AX64" s="169"/>
      <c r="AY64" s="169"/>
      <c r="AZ64" s="172"/>
    </row>
    <row r="65" spans="1:54" s="60" customFormat="1" ht="30" x14ac:dyDescent="0.25">
      <c r="A65" s="184"/>
      <c r="B65" s="181"/>
      <c r="C65" s="167"/>
      <c r="D65" s="93" t="s">
        <v>174</v>
      </c>
      <c r="E65" s="93" t="s">
        <v>41</v>
      </c>
      <c r="F65" s="93">
        <v>1</v>
      </c>
      <c r="G65" s="57" t="s">
        <v>175</v>
      </c>
      <c r="H65" s="58">
        <v>5500</v>
      </c>
      <c r="I65" s="58">
        <v>5500</v>
      </c>
      <c r="J65" s="58" t="s">
        <v>36</v>
      </c>
      <c r="K65" s="59"/>
      <c r="L65" s="58">
        <v>5500</v>
      </c>
      <c r="M65" s="170"/>
      <c r="N65" s="170"/>
      <c r="O65" s="170"/>
      <c r="P65" s="170"/>
      <c r="Q65" s="170"/>
      <c r="R65" s="161"/>
      <c r="S65" s="161"/>
      <c r="T65" s="161"/>
      <c r="U65" s="161"/>
      <c r="V65" s="161"/>
      <c r="W65" s="161"/>
      <c r="X65" s="170"/>
      <c r="Y65" s="170"/>
      <c r="Z65" s="170"/>
      <c r="AA65" s="170"/>
      <c r="AB65" s="170"/>
      <c r="AC65" s="170"/>
      <c r="AD65" s="170"/>
      <c r="AE65" s="170"/>
      <c r="AF65" s="170"/>
      <c r="AG65" s="161"/>
      <c r="AH65" s="161"/>
      <c r="AI65" s="161"/>
      <c r="AJ65" s="161"/>
      <c r="AK65" s="161"/>
      <c r="AL65" s="161"/>
      <c r="AM65" s="170"/>
      <c r="AN65" s="170"/>
      <c r="AO65" s="170"/>
      <c r="AP65" s="170"/>
      <c r="AQ65" s="170"/>
      <c r="AR65" s="170"/>
      <c r="AS65" s="170"/>
      <c r="AT65" s="170"/>
      <c r="AU65" s="161"/>
      <c r="AV65" s="161"/>
      <c r="AW65" s="170"/>
      <c r="AX65" s="170"/>
      <c r="AY65" s="170"/>
      <c r="AZ65" s="173"/>
      <c r="BA65" s="60">
        <f t="shared" si="20"/>
        <v>0</v>
      </c>
    </row>
    <row r="66" spans="1:54" ht="41.25" customHeight="1" x14ac:dyDescent="0.25">
      <c r="A66" s="74">
        <v>10</v>
      </c>
      <c r="B66" s="85" t="s">
        <v>262</v>
      </c>
      <c r="C66" s="73">
        <v>10</v>
      </c>
      <c r="D66" s="74" t="s">
        <v>90</v>
      </c>
      <c r="E66" s="48" t="s">
        <v>33</v>
      </c>
      <c r="F66" s="74">
        <v>2</v>
      </c>
      <c r="G66" s="49" t="s">
        <v>91</v>
      </c>
      <c r="H66" s="82">
        <v>7166</v>
      </c>
      <c r="I66" s="82">
        <f t="shared" ref="I66:I67" si="22">F66*H66</f>
        <v>14332</v>
      </c>
      <c r="J66" s="48" t="s">
        <v>92</v>
      </c>
      <c r="K66" s="50">
        <v>1.05</v>
      </c>
      <c r="L66" s="82">
        <f t="shared" ref="L66" si="23">I66*K66</f>
        <v>15048.6</v>
      </c>
      <c r="M66" s="82">
        <f>L66</f>
        <v>15048.6</v>
      </c>
      <c r="N66" s="82">
        <f>M66*0.2</f>
        <v>3009.7200000000003</v>
      </c>
      <c r="O66" s="82">
        <v>18058.32</v>
      </c>
      <c r="P66" s="82">
        <v>19738.466092799998</v>
      </c>
      <c r="Q66" s="82">
        <v>19738.466092799998</v>
      </c>
      <c r="R66" s="83">
        <v>1.0509999999999999</v>
      </c>
      <c r="S66" s="83">
        <v>1.04</v>
      </c>
      <c r="T66" s="83">
        <v>1.0409999999999999</v>
      </c>
      <c r="U66" s="83">
        <v>1.0409999999999999</v>
      </c>
      <c r="V66" s="83">
        <v>1.0409999999999999</v>
      </c>
      <c r="W66" s="83">
        <v>1.042</v>
      </c>
      <c r="X66" s="82">
        <v>0</v>
      </c>
      <c r="Y66" s="82">
        <f>Q66</f>
        <v>19738.466092799998</v>
      </c>
      <c r="Z66" s="82">
        <v>0</v>
      </c>
      <c r="AA66" s="82">
        <v>0</v>
      </c>
      <c r="AB66" s="82">
        <v>0</v>
      </c>
      <c r="AC66" s="82">
        <v>0</v>
      </c>
      <c r="AD66" s="82">
        <f>L66*1.2</f>
        <v>18058.32</v>
      </c>
      <c r="AE66" s="82">
        <f>AD66*AG66*AH66</f>
        <v>20597.10309216</v>
      </c>
      <c r="AF66" s="82">
        <f>AM66+AN66+AO66+AP66+AQ66+AR66</f>
        <v>20597.10309216</v>
      </c>
      <c r="AG66" s="83">
        <f t="shared" ref="AG66:AH68" si="24">AU66</f>
        <v>1.0740000000000001</v>
      </c>
      <c r="AH66" s="83">
        <f t="shared" si="24"/>
        <v>1.0620000000000001</v>
      </c>
      <c r="AI66" s="83">
        <v>1.0509999999999999</v>
      </c>
      <c r="AJ66" s="83">
        <v>1.048</v>
      </c>
      <c r="AK66" s="83">
        <v>1.0469999999999999</v>
      </c>
      <c r="AL66" s="83">
        <v>1.0469999999999999</v>
      </c>
      <c r="AM66" s="82">
        <v>0</v>
      </c>
      <c r="AN66" s="82">
        <f>AD66*AG66*AH66</f>
        <v>20597.10309216</v>
      </c>
      <c r="AO66" s="82">
        <v>0</v>
      </c>
      <c r="AP66" s="82">
        <v>0</v>
      </c>
      <c r="AQ66" s="82">
        <v>0</v>
      </c>
      <c r="AR66" s="82">
        <v>0</v>
      </c>
      <c r="AS66" s="82">
        <v>18058.32</v>
      </c>
      <c r="AT66" s="82">
        <v>20597.10309216</v>
      </c>
      <c r="AU66" s="83">
        <v>1.0740000000000001</v>
      </c>
      <c r="AV66" s="83">
        <v>1.0620000000000001</v>
      </c>
      <c r="AW66" s="82">
        <v>0</v>
      </c>
      <c r="AX66" s="82">
        <v>20597.10309216</v>
      </c>
      <c r="AY66" s="44">
        <v>0</v>
      </c>
      <c r="AZ66" s="87">
        <f>AS9-O9</f>
        <v>0</v>
      </c>
      <c r="BA66" s="31">
        <f t="shared" si="20"/>
        <v>16448.721743999999</v>
      </c>
    </row>
    <row r="67" spans="1:54" ht="60" customHeight="1" x14ac:dyDescent="0.25">
      <c r="A67" s="77">
        <v>11</v>
      </c>
      <c r="B67" s="84" t="s">
        <v>263</v>
      </c>
      <c r="C67" s="72">
        <v>110</v>
      </c>
      <c r="D67" s="74" t="s">
        <v>93</v>
      </c>
      <c r="E67" s="47" t="s">
        <v>33</v>
      </c>
      <c r="F67" s="74">
        <v>1</v>
      </c>
      <c r="G67" s="49" t="s">
        <v>94</v>
      </c>
      <c r="H67" s="82">
        <v>58303</v>
      </c>
      <c r="I67" s="82">
        <f t="shared" si="22"/>
        <v>58303</v>
      </c>
      <c r="J67" s="47" t="s">
        <v>92</v>
      </c>
      <c r="K67" s="47">
        <v>1.05</v>
      </c>
      <c r="L67" s="79">
        <f>I67*K67</f>
        <v>61218.15</v>
      </c>
      <c r="M67" s="79">
        <f>L67</f>
        <v>61218.15</v>
      </c>
      <c r="N67" s="82">
        <f>M67*0.2</f>
        <v>12243.630000000001</v>
      </c>
      <c r="O67" s="82">
        <v>73461.78</v>
      </c>
      <c r="P67" s="82">
        <v>80296.664011199988</v>
      </c>
      <c r="Q67" s="82">
        <v>80296.664011199988</v>
      </c>
      <c r="R67" s="76">
        <v>1.0509999999999999</v>
      </c>
      <c r="S67" s="76">
        <v>1.04</v>
      </c>
      <c r="T67" s="76">
        <v>1.0409999999999999</v>
      </c>
      <c r="U67" s="76">
        <v>1.0409999999999999</v>
      </c>
      <c r="V67" s="76">
        <v>1.0409999999999999</v>
      </c>
      <c r="W67" s="76">
        <v>1.042</v>
      </c>
      <c r="X67" s="82">
        <v>0</v>
      </c>
      <c r="Y67" s="79">
        <f>Q67</f>
        <v>80296.664011199988</v>
      </c>
      <c r="Z67" s="79">
        <v>0</v>
      </c>
      <c r="AA67" s="79">
        <v>0</v>
      </c>
      <c r="AB67" s="79">
        <v>0</v>
      </c>
      <c r="AC67" s="79">
        <v>0</v>
      </c>
      <c r="AD67" s="79">
        <f>L67*1.2</f>
        <v>73461.78</v>
      </c>
      <c r="AE67" s="79">
        <f>AD67*AG67*AH67</f>
        <v>83789.624726640002</v>
      </c>
      <c r="AF67" s="79">
        <f>AM67+AN67+AO67+AP67+AQ67+AR67</f>
        <v>83789.624726640002</v>
      </c>
      <c r="AG67" s="76">
        <f t="shared" si="24"/>
        <v>1.0740000000000001</v>
      </c>
      <c r="AH67" s="76">
        <f t="shared" si="24"/>
        <v>1.0620000000000001</v>
      </c>
      <c r="AI67" s="76">
        <v>1.0509999999999999</v>
      </c>
      <c r="AJ67" s="76">
        <v>1.048</v>
      </c>
      <c r="AK67" s="76">
        <v>1.0469999999999999</v>
      </c>
      <c r="AL67" s="76">
        <v>1.0469999999999999</v>
      </c>
      <c r="AM67" s="79">
        <v>0</v>
      </c>
      <c r="AN67" s="79">
        <f>AD67*AG67*AH67</f>
        <v>83789.624726640002</v>
      </c>
      <c r="AO67" s="79">
        <v>0</v>
      </c>
      <c r="AP67" s="79">
        <v>0</v>
      </c>
      <c r="AQ67" s="79">
        <v>0</v>
      </c>
      <c r="AR67" s="79">
        <v>0</v>
      </c>
      <c r="AS67" s="79">
        <v>73461.78</v>
      </c>
      <c r="AT67" s="79">
        <v>83789.624726640002</v>
      </c>
      <c r="AU67" s="83">
        <v>1.0740000000000001</v>
      </c>
      <c r="AV67" s="83">
        <v>1.0620000000000001</v>
      </c>
      <c r="AW67" s="82">
        <v>0</v>
      </c>
      <c r="AX67" s="82">
        <v>83789.624726640002</v>
      </c>
      <c r="AY67" s="44">
        <v>0</v>
      </c>
      <c r="AZ67" s="87">
        <f>AS9-O9</f>
        <v>0</v>
      </c>
      <c r="BA67" s="31">
        <f t="shared" si="20"/>
        <v>66913.886675999995</v>
      </c>
    </row>
    <row r="68" spans="1:54" ht="81" customHeight="1" x14ac:dyDescent="0.25">
      <c r="A68" s="97">
        <v>12</v>
      </c>
      <c r="B68" s="174" t="s">
        <v>264</v>
      </c>
      <c r="C68" s="103">
        <v>110</v>
      </c>
      <c r="D68" s="77" t="s">
        <v>127</v>
      </c>
      <c r="E68" s="47" t="s">
        <v>45</v>
      </c>
      <c r="F68" s="77">
        <v>179</v>
      </c>
      <c r="G68" s="29" t="s">
        <v>126</v>
      </c>
      <c r="H68" s="79">
        <v>101</v>
      </c>
      <c r="I68" s="79">
        <v>18079</v>
      </c>
      <c r="J68" s="47" t="s">
        <v>55</v>
      </c>
      <c r="K68" s="47">
        <v>1.05</v>
      </c>
      <c r="L68" s="79">
        <v>18983</v>
      </c>
      <c r="M68" s="127">
        <f>SUM(L68:L72)</f>
        <v>48671.833500000001</v>
      </c>
      <c r="N68" s="127">
        <f>M68*0.2</f>
        <v>9734.3667000000005</v>
      </c>
      <c r="O68" s="127">
        <v>58406.200199999999</v>
      </c>
      <c r="P68" s="127">
        <v>63840.313066607996</v>
      </c>
      <c r="Q68" s="127">
        <v>63840.313066607996</v>
      </c>
      <c r="R68" s="124">
        <v>1.0509999999999999</v>
      </c>
      <c r="S68" s="124">
        <v>1.04</v>
      </c>
      <c r="T68" s="124">
        <v>1.0409999999999999</v>
      </c>
      <c r="U68" s="124">
        <v>1.0409999999999999</v>
      </c>
      <c r="V68" s="124">
        <v>1.0409999999999999</v>
      </c>
      <c r="W68" s="124">
        <v>1.042</v>
      </c>
      <c r="X68" s="127">
        <v>0</v>
      </c>
      <c r="Y68" s="127">
        <f>Q68</f>
        <v>63840.313066607996</v>
      </c>
      <c r="Z68" s="127">
        <v>0</v>
      </c>
      <c r="AA68" s="127">
        <v>0</v>
      </c>
      <c r="AB68" s="128">
        <v>0</v>
      </c>
      <c r="AC68" s="128">
        <v>0</v>
      </c>
      <c r="AD68" s="127">
        <f>(L68+L69+L70+L71+L72)*1.2</f>
        <v>58406.200199999999</v>
      </c>
      <c r="AE68" s="127">
        <f>AD68*AG68*AH68</f>
        <v>65049.204598347598</v>
      </c>
      <c r="AF68" s="127">
        <f>AM68+AN68+AO68+AP68+AQ68+AR68</f>
        <v>65049.204598347598</v>
      </c>
      <c r="AG68" s="124">
        <f t="shared" si="24"/>
        <v>1.0740000000000001</v>
      </c>
      <c r="AH68" s="124">
        <f t="shared" si="24"/>
        <v>1.0369999999999999</v>
      </c>
      <c r="AI68" s="124">
        <v>1.0389999999999999</v>
      </c>
      <c r="AJ68" s="124">
        <v>1.042</v>
      </c>
      <c r="AK68" s="124">
        <v>1.0429999999999999</v>
      </c>
      <c r="AL68" s="124">
        <v>1.0429999999999999</v>
      </c>
      <c r="AM68" s="127">
        <v>0</v>
      </c>
      <c r="AN68" s="127">
        <f>AD68*AG68*AH68</f>
        <v>65049.204598347598</v>
      </c>
      <c r="AO68" s="127">
        <v>0</v>
      </c>
      <c r="AP68" s="127">
        <v>0</v>
      </c>
      <c r="AQ68" s="127">
        <v>0</v>
      </c>
      <c r="AR68" s="127">
        <v>0</v>
      </c>
      <c r="AS68" s="128">
        <v>58406.200199999999</v>
      </c>
      <c r="AT68" s="128">
        <v>65049.204598347598</v>
      </c>
      <c r="AU68" s="124">
        <v>1.0740000000000001</v>
      </c>
      <c r="AV68" s="124">
        <v>1.0369999999999999</v>
      </c>
      <c r="AW68" s="127">
        <v>0</v>
      </c>
      <c r="AX68" s="127">
        <v>65049.204598347598</v>
      </c>
      <c r="AY68" s="127">
        <v>0</v>
      </c>
      <c r="AZ68" s="164">
        <f>AS9-O9</f>
        <v>0</v>
      </c>
      <c r="BA68" s="31">
        <f t="shared" si="20"/>
        <v>53200.260888839999</v>
      </c>
    </row>
    <row r="69" spans="1:54" ht="45" customHeight="1" x14ac:dyDescent="0.25">
      <c r="A69" s="109"/>
      <c r="B69" s="162"/>
      <c r="C69" s="112"/>
      <c r="D69" s="77" t="s">
        <v>135</v>
      </c>
      <c r="E69" s="77" t="s">
        <v>34</v>
      </c>
      <c r="F69" s="77">
        <v>3.69</v>
      </c>
      <c r="G69" s="29" t="s">
        <v>136</v>
      </c>
      <c r="H69" s="79">
        <v>583</v>
      </c>
      <c r="I69" s="79">
        <f t="shared" ref="I69" si="25">F69*H69</f>
        <v>2151.27</v>
      </c>
      <c r="J69" s="79" t="s">
        <v>55</v>
      </c>
      <c r="K69" s="30">
        <v>1.05</v>
      </c>
      <c r="L69" s="79">
        <f>I69*K69</f>
        <v>2258.8335000000002</v>
      </c>
      <c r="M69" s="128"/>
      <c r="N69" s="128"/>
      <c r="O69" s="128"/>
      <c r="P69" s="128"/>
      <c r="Q69" s="128"/>
      <c r="R69" s="125"/>
      <c r="S69" s="125"/>
      <c r="T69" s="125"/>
      <c r="U69" s="125"/>
      <c r="V69" s="125"/>
      <c r="W69" s="125"/>
      <c r="X69" s="128"/>
      <c r="Y69" s="128"/>
      <c r="Z69" s="128"/>
      <c r="AA69" s="128"/>
      <c r="AB69" s="128"/>
      <c r="AC69" s="128"/>
      <c r="AD69" s="128"/>
      <c r="AE69" s="128"/>
      <c r="AF69" s="128"/>
      <c r="AG69" s="125"/>
      <c r="AH69" s="125"/>
      <c r="AI69" s="125"/>
      <c r="AJ69" s="125"/>
      <c r="AK69" s="125"/>
      <c r="AL69" s="125"/>
      <c r="AM69" s="128"/>
      <c r="AN69" s="128"/>
      <c r="AO69" s="128"/>
      <c r="AP69" s="128"/>
      <c r="AQ69" s="128"/>
      <c r="AR69" s="128"/>
      <c r="AS69" s="128"/>
      <c r="AT69" s="128"/>
      <c r="AU69" s="125"/>
      <c r="AV69" s="125"/>
      <c r="AW69" s="128"/>
      <c r="AX69" s="128"/>
      <c r="AY69" s="128"/>
      <c r="AZ69" s="164"/>
      <c r="BA69" s="31">
        <f t="shared" si="20"/>
        <v>0</v>
      </c>
    </row>
    <row r="70" spans="1:54" ht="80.25" customHeight="1" x14ac:dyDescent="0.25">
      <c r="A70" s="109"/>
      <c r="B70" s="162"/>
      <c r="C70" s="112"/>
      <c r="D70" s="77" t="s">
        <v>137</v>
      </c>
      <c r="E70" s="47" t="s">
        <v>34</v>
      </c>
      <c r="F70" s="77">
        <v>3.69</v>
      </c>
      <c r="G70" s="29" t="s">
        <v>138</v>
      </c>
      <c r="H70" s="79">
        <v>669</v>
      </c>
      <c r="I70" s="79">
        <v>2469</v>
      </c>
      <c r="J70" s="47" t="s">
        <v>55</v>
      </c>
      <c r="K70" s="47">
        <v>1.05</v>
      </c>
      <c r="L70" s="79">
        <v>2592</v>
      </c>
      <c r="M70" s="128"/>
      <c r="N70" s="128"/>
      <c r="O70" s="128"/>
      <c r="P70" s="128"/>
      <c r="Q70" s="128"/>
      <c r="R70" s="125"/>
      <c r="S70" s="125"/>
      <c r="T70" s="125"/>
      <c r="U70" s="125"/>
      <c r="V70" s="125"/>
      <c r="W70" s="125"/>
      <c r="X70" s="128"/>
      <c r="Y70" s="128"/>
      <c r="Z70" s="128"/>
      <c r="AA70" s="128" t="s">
        <v>183</v>
      </c>
      <c r="AB70" s="128" t="s">
        <v>183</v>
      </c>
      <c r="AC70" s="128" t="s">
        <v>183</v>
      </c>
      <c r="AD70" s="128"/>
      <c r="AE70" s="128"/>
      <c r="AF70" s="128"/>
      <c r="AG70" s="125"/>
      <c r="AH70" s="125"/>
      <c r="AI70" s="125"/>
      <c r="AJ70" s="125"/>
      <c r="AK70" s="125"/>
      <c r="AL70" s="125"/>
      <c r="AM70" s="128"/>
      <c r="AN70" s="128"/>
      <c r="AO70" s="128"/>
      <c r="AP70" s="128"/>
      <c r="AQ70" s="128"/>
      <c r="AR70" s="128"/>
      <c r="AS70" s="128"/>
      <c r="AT70" s="128"/>
      <c r="AU70" s="125"/>
      <c r="AV70" s="125"/>
      <c r="AW70" s="128"/>
      <c r="AX70" s="128"/>
      <c r="AY70" s="128"/>
      <c r="AZ70" s="164"/>
      <c r="BA70" s="31">
        <f t="shared" si="20"/>
        <v>0</v>
      </c>
    </row>
    <row r="71" spans="1:54" ht="78.75" customHeight="1" x14ac:dyDescent="0.25">
      <c r="A71" s="109"/>
      <c r="B71" s="162"/>
      <c r="C71" s="112"/>
      <c r="D71" s="77" t="s">
        <v>139</v>
      </c>
      <c r="E71" s="47" t="s">
        <v>34</v>
      </c>
      <c r="F71" s="77">
        <v>3.69</v>
      </c>
      <c r="G71" s="29" t="s">
        <v>126</v>
      </c>
      <c r="H71" s="79">
        <v>2158</v>
      </c>
      <c r="I71" s="79">
        <v>7963</v>
      </c>
      <c r="J71" s="47" t="s">
        <v>133</v>
      </c>
      <c r="K71" s="47">
        <v>1.59</v>
      </c>
      <c r="L71" s="79">
        <v>12661</v>
      </c>
      <c r="M71" s="128"/>
      <c r="N71" s="128"/>
      <c r="O71" s="128"/>
      <c r="P71" s="128"/>
      <c r="Q71" s="128"/>
      <c r="R71" s="125"/>
      <c r="S71" s="125"/>
      <c r="T71" s="125"/>
      <c r="U71" s="125"/>
      <c r="V71" s="125"/>
      <c r="W71" s="125"/>
      <c r="X71" s="128"/>
      <c r="Y71" s="128"/>
      <c r="Z71" s="128"/>
      <c r="AA71" s="128"/>
      <c r="AB71" s="128"/>
      <c r="AC71" s="128"/>
      <c r="AD71" s="128"/>
      <c r="AE71" s="128"/>
      <c r="AF71" s="128"/>
      <c r="AG71" s="125"/>
      <c r="AH71" s="125"/>
      <c r="AI71" s="125"/>
      <c r="AJ71" s="125"/>
      <c r="AK71" s="125"/>
      <c r="AL71" s="125"/>
      <c r="AM71" s="128"/>
      <c r="AN71" s="128"/>
      <c r="AO71" s="128"/>
      <c r="AP71" s="128"/>
      <c r="AQ71" s="128"/>
      <c r="AR71" s="128"/>
      <c r="AS71" s="128"/>
      <c r="AT71" s="128"/>
      <c r="AU71" s="125"/>
      <c r="AV71" s="125"/>
      <c r="AW71" s="128"/>
      <c r="AX71" s="128"/>
      <c r="AY71" s="128"/>
      <c r="AZ71" s="164"/>
      <c r="BA71" s="31">
        <f t="shared" si="20"/>
        <v>0</v>
      </c>
      <c r="BB71" s="37"/>
    </row>
    <row r="72" spans="1:54" ht="45.75" customHeight="1" x14ac:dyDescent="0.25">
      <c r="A72" s="109"/>
      <c r="B72" s="162"/>
      <c r="C72" s="112"/>
      <c r="D72" s="71" t="s">
        <v>140</v>
      </c>
      <c r="E72" s="51" t="s">
        <v>41</v>
      </c>
      <c r="F72" s="71">
        <v>3.69</v>
      </c>
      <c r="G72" s="52" t="s">
        <v>141</v>
      </c>
      <c r="H72" s="81">
        <v>3300</v>
      </c>
      <c r="I72" s="81">
        <v>12177</v>
      </c>
      <c r="J72" s="51" t="s">
        <v>36</v>
      </c>
      <c r="K72" s="51" t="s">
        <v>36</v>
      </c>
      <c r="L72" s="81">
        <v>12177</v>
      </c>
      <c r="M72" s="128"/>
      <c r="N72" s="128"/>
      <c r="O72" s="128"/>
      <c r="P72" s="128"/>
      <c r="Q72" s="128"/>
      <c r="R72" s="126"/>
      <c r="S72" s="126"/>
      <c r="T72" s="126"/>
      <c r="U72" s="126"/>
      <c r="V72" s="126"/>
      <c r="W72" s="126"/>
      <c r="X72" s="129"/>
      <c r="Y72" s="129"/>
      <c r="Z72" s="129"/>
      <c r="AA72" s="129"/>
      <c r="AB72" s="128"/>
      <c r="AC72" s="128"/>
      <c r="AD72" s="129"/>
      <c r="AE72" s="129"/>
      <c r="AF72" s="129"/>
      <c r="AG72" s="126"/>
      <c r="AH72" s="126"/>
      <c r="AI72" s="126"/>
      <c r="AJ72" s="126"/>
      <c r="AK72" s="126"/>
      <c r="AL72" s="126"/>
      <c r="AM72" s="129"/>
      <c r="AN72" s="129"/>
      <c r="AO72" s="129"/>
      <c r="AP72" s="129"/>
      <c r="AQ72" s="129"/>
      <c r="AR72" s="129"/>
      <c r="AS72" s="128"/>
      <c r="AT72" s="128"/>
      <c r="AU72" s="125"/>
      <c r="AV72" s="125"/>
      <c r="AW72" s="128"/>
      <c r="AX72" s="128"/>
      <c r="AY72" s="128"/>
      <c r="AZ72" s="164"/>
      <c r="BA72" s="31">
        <f t="shared" si="20"/>
        <v>0</v>
      </c>
      <c r="BB72" s="37"/>
    </row>
    <row r="73" spans="1:54" ht="73.5" customHeight="1" x14ac:dyDescent="0.25">
      <c r="A73" s="97">
        <v>13</v>
      </c>
      <c r="B73" s="174" t="s">
        <v>153</v>
      </c>
      <c r="C73" s="103">
        <v>10</v>
      </c>
      <c r="D73" s="77" t="s">
        <v>142</v>
      </c>
      <c r="E73" s="47" t="s">
        <v>146</v>
      </c>
      <c r="F73" s="77">
        <v>0.36</v>
      </c>
      <c r="G73" s="29" t="s">
        <v>148</v>
      </c>
      <c r="H73" s="79">
        <v>2106</v>
      </c>
      <c r="I73" s="79">
        <v>758</v>
      </c>
      <c r="J73" s="47" t="s">
        <v>152</v>
      </c>
      <c r="K73" s="47">
        <v>1.1200000000000001</v>
      </c>
      <c r="L73" s="79">
        <v>849</v>
      </c>
      <c r="M73" s="127">
        <f>SUM(L73:L76)</f>
        <v>2717</v>
      </c>
      <c r="N73" s="127">
        <f>M73*0.2</f>
        <v>543.4</v>
      </c>
      <c r="O73" s="127">
        <v>3260.4</v>
      </c>
      <c r="P73" s="127">
        <v>3563.7476159999997</v>
      </c>
      <c r="Q73" s="127">
        <v>3563.7476159999997</v>
      </c>
      <c r="R73" s="124">
        <v>1.0509999999999999</v>
      </c>
      <c r="S73" s="124">
        <v>1.04</v>
      </c>
      <c r="T73" s="124">
        <v>1.0409999999999999</v>
      </c>
      <c r="U73" s="124">
        <v>1.0409999999999999</v>
      </c>
      <c r="V73" s="124">
        <v>1.0409999999999999</v>
      </c>
      <c r="W73" s="124">
        <v>1.042</v>
      </c>
      <c r="X73" s="127">
        <v>0</v>
      </c>
      <c r="Y73" s="127">
        <f>Q73</f>
        <v>3563.7476159999997</v>
      </c>
      <c r="Z73" s="127">
        <v>0</v>
      </c>
      <c r="AA73" s="127">
        <v>0</v>
      </c>
      <c r="AB73" s="127">
        <v>0</v>
      </c>
      <c r="AC73" s="127">
        <v>0</v>
      </c>
      <c r="AD73" s="127">
        <f>(L73+L74+L75+L76)*1.2</f>
        <v>3260.4</v>
      </c>
      <c r="AE73" s="127">
        <f>AD73*AG73*AH73</f>
        <v>3631.2313752</v>
      </c>
      <c r="AF73" s="127">
        <f>AM73+AN73+AO73+AP73+AQ73+AR73</f>
        <v>3631.2313752</v>
      </c>
      <c r="AG73" s="124">
        <v>1.0740000000000001</v>
      </c>
      <c r="AH73" s="124">
        <f>AV73</f>
        <v>1.0369999999999999</v>
      </c>
      <c r="AI73" s="124">
        <v>1.0389999999999999</v>
      </c>
      <c r="AJ73" s="124">
        <v>1.042</v>
      </c>
      <c r="AK73" s="124">
        <v>1.0429999999999999</v>
      </c>
      <c r="AL73" s="124">
        <v>1.0429999999999999</v>
      </c>
      <c r="AM73" s="127">
        <v>0</v>
      </c>
      <c r="AN73" s="127">
        <f>AD73*AG73*AH73</f>
        <v>3631.2313752</v>
      </c>
      <c r="AO73" s="127">
        <v>0</v>
      </c>
      <c r="AP73" s="127">
        <v>0</v>
      </c>
      <c r="AQ73" s="127">
        <v>0</v>
      </c>
      <c r="AR73" s="127">
        <v>0</v>
      </c>
      <c r="AS73" s="127">
        <v>400.94567999999998</v>
      </c>
      <c r="AT73" s="127">
        <v>0</v>
      </c>
      <c r="AU73" s="124">
        <v>1.0740000000000001</v>
      </c>
      <c r="AV73" s="124">
        <v>1.0369999999999999</v>
      </c>
      <c r="AW73" s="127">
        <v>0</v>
      </c>
      <c r="AX73" s="127">
        <v>400.94567999999998</v>
      </c>
      <c r="AY73" s="127">
        <v>0</v>
      </c>
      <c r="AZ73" s="164">
        <f>AS9-O9</f>
        <v>0</v>
      </c>
      <c r="BA73" s="31">
        <f t="shared" si="20"/>
        <v>2969.7896799999999</v>
      </c>
      <c r="BB73" s="37"/>
    </row>
    <row r="74" spans="1:54" ht="78" customHeight="1" x14ac:dyDescent="0.25">
      <c r="A74" s="109"/>
      <c r="B74" s="162"/>
      <c r="C74" s="112"/>
      <c r="D74" s="77" t="s">
        <v>143</v>
      </c>
      <c r="E74" s="46" t="s">
        <v>147</v>
      </c>
      <c r="F74" s="77">
        <v>0.18</v>
      </c>
      <c r="G74" s="29" t="s">
        <v>149</v>
      </c>
      <c r="H74" s="79">
        <v>1428</v>
      </c>
      <c r="I74" s="79">
        <v>257</v>
      </c>
      <c r="J74" s="47" t="s">
        <v>36</v>
      </c>
      <c r="K74" s="47" t="s">
        <v>36</v>
      </c>
      <c r="L74" s="79">
        <v>257</v>
      </c>
      <c r="M74" s="128"/>
      <c r="N74" s="128"/>
      <c r="O74" s="128"/>
      <c r="P74" s="128"/>
      <c r="Q74" s="128"/>
      <c r="R74" s="125"/>
      <c r="S74" s="125"/>
      <c r="T74" s="125"/>
      <c r="U74" s="125"/>
      <c r="V74" s="125"/>
      <c r="W74" s="125"/>
      <c r="X74" s="128"/>
      <c r="Y74" s="128"/>
      <c r="Z74" s="128"/>
      <c r="AA74" s="128"/>
      <c r="AB74" s="128"/>
      <c r="AC74" s="128"/>
      <c r="AD74" s="128"/>
      <c r="AE74" s="128"/>
      <c r="AF74" s="128"/>
      <c r="AG74" s="125"/>
      <c r="AH74" s="125"/>
      <c r="AI74" s="125"/>
      <c r="AJ74" s="125"/>
      <c r="AK74" s="125"/>
      <c r="AL74" s="125"/>
      <c r="AM74" s="128"/>
      <c r="AN74" s="128"/>
      <c r="AO74" s="128"/>
      <c r="AP74" s="128"/>
      <c r="AQ74" s="128"/>
      <c r="AR74" s="128"/>
      <c r="AS74" s="128"/>
      <c r="AT74" s="128"/>
      <c r="AU74" s="125"/>
      <c r="AV74" s="125"/>
      <c r="AW74" s="128"/>
      <c r="AX74" s="128"/>
      <c r="AY74" s="128"/>
      <c r="AZ74" s="164"/>
      <c r="BA74" s="31">
        <f t="shared" si="20"/>
        <v>0</v>
      </c>
      <c r="BB74" s="37"/>
    </row>
    <row r="75" spans="1:54" ht="45.75" customHeight="1" x14ac:dyDescent="0.25">
      <c r="A75" s="109"/>
      <c r="B75" s="162"/>
      <c r="C75" s="112"/>
      <c r="D75" s="77" t="s">
        <v>144</v>
      </c>
      <c r="E75" s="46" t="s">
        <v>147</v>
      </c>
      <c r="F75" s="77">
        <v>10</v>
      </c>
      <c r="G75" s="29" t="s">
        <v>150</v>
      </c>
      <c r="H75" s="79">
        <v>134</v>
      </c>
      <c r="I75" s="79">
        <v>1340</v>
      </c>
      <c r="J75" s="47" t="s">
        <v>152</v>
      </c>
      <c r="K75" s="47">
        <v>1.1200000000000001</v>
      </c>
      <c r="L75" s="79">
        <v>1501</v>
      </c>
      <c r="M75" s="128"/>
      <c r="N75" s="128"/>
      <c r="O75" s="128"/>
      <c r="P75" s="128"/>
      <c r="Q75" s="128"/>
      <c r="R75" s="125"/>
      <c r="S75" s="125"/>
      <c r="T75" s="125"/>
      <c r="U75" s="125"/>
      <c r="V75" s="125"/>
      <c r="W75" s="125"/>
      <c r="X75" s="128"/>
      <c r="Y75" s="128"/>
      <c r="Z75" s="128"/>
      <c r="AA75" s="128"/>
      <c r="AB75" s="128"/>
      <c r="AC75" s="128"/>
      <c r="AD75" s="128"/>
      <c r="AE75" s="128"/>
      <c r="AF75" s="128"/>
      <c r="AG75" s="125"/>
      <c r="AH75" s="125"/>
      <c r="AI75" s="125"/>
      <c r="AJ75" s="125"/>
      <c r="AK75" s="125"/>
      <c r="AL75" s="125"/>
      <c r="AM75" s="128"/>
      <c r="AN75" s="128"/>
      <c r="AO75" s="128"/>
      <c r="AP75" s="128"/>
      <c r="AQ75" s="128"/>
      <c r="AR75" s="128"/>
      <c r="AS75" s="128"/>
      <c r="AT75" s="128"/>
      <c r="AU75" s="125"/>
      <c r="AV75" s="125"/>
      <c r="AW75" s="128"/>
      <c r="AX75" s="128"/>
      <c r="AY75" s="128"/>
      <c r="AZ75" s="164"/>
      <c r="BA75" s="31">
        <f t="shared" si="20"/>
        <v>0</v>
      </c>
      <c r="BB75" s="37"/>
    </row>
    <row r="76" spans="1:54" ht="45.75" customHeight="1" x14ac:dyDescent="0.25">
      <c r="A76" s="98"/>
      <c r="B76" s="163"/>
      <c r="C76" s="104"/>
      <c r="D76" s="77" t="s">
        <v>145</v>
      </c>
      <c r="E76" s="46" t="s">
        <v>147</v>
      </c>
      <c r="F76" s="77">
        <v>0.18</v>
      </c>
      <c r="G76" s="29" t="s">
        <v>151</v>
      </c>
      <c r="H76" s="79">
        <v>611</v>
      </c>
      <c r="I76" s="79">
        <v>110</v>
      </c>
      <c r="J76" s="47" t="s">
        <v>36</v>
      </c>
      <c r="K76" s="47" t="s">
        <v>36</v>
      </c>
      <c r="L76" s="79">
        <v>110</v>
      </c>
      <c r="M76" s="129"/>
      <c r="N76" s="129"/>
      <c r="O76" s="129"/>
      <c r="P76" s="129"/>
      <c r="Q76" s="129"/>
      <c r="R76" s="126"/>
      <c r="S76" s="126"/>
      <c r="T76" s="126"/>
      <c r="U76" s="126"/>
      <c r="V76" s="126"/>
      <c r="W76" s="126"/>
      <c r="X76" s="129"/>
      <c r="Y76" s="129"/>
      <c r="Z76" s="129"/>
      <c r="AA76" s="129"/>
      <c r="AB76" s="129"/>
      <c r="AC76" s="129"/>
      <c r="AD76" s="129"/>
      <c r="AE76" s="129"/>
      <c r="AF76" s="129"/>
      <c r="AG76" s="126"/>
      <c r="AH76" s="126"/>
      <c r="AI76" s="126"/>
      <c r="AJ76" s="126"/>
      <c r="AK76" s="126"/>
      <c r="AL76" s="126"/>
      <c r="AM76" s="129"/>
      <c r="AN76" s="129"/>
      <c r="AO76" s="129"/>
      <c r="AP76" s="129"/>
      <c r="AQ76" s="129"/>
      <c r="AR76" s="129"/>
      <c r="AS76" s="129"/>
      <c r="AT76" s="129"/>
      <c r="AU76" s="126"/>
      <c r="AV76" s="126"/>
      <c r="AW76" s="129"/>
      <c r="AX76" s="129"/>
      <c r="AY76" s="129"/>
      <c r="AZ76" s="164"/>
      <c r="BA76" s="31">
        <f t="shared" si="20"/>
        <v>0</v>
      </c>
      <c r="BB76" s="37"/>
    </row>
    <row r="77" spans="1:54" ht="67.5" customHeight="1" x14ac:dyDescent="0.25">
      <c r="A77" s="182">
        <v>14</v>
      </c>
      <c r="B77" s="179" t="s">
        <v>184</v>
      </c>
      <c r="C77" s="165" t="s">
        <v>157</v>
      </c>
      <c r="D77" s="47" t="s">
        <v>158</v>
      </c>
      <c r="E77" s="47" t="s">
        <v>37</v>
      </c>
      <c r="F77" s="47">
        <v>8</v>
      </c>
      <c r="G77" s="46" t="s">
        <v>159</v>
      </c>
      <c r="H77" s="53">
        <v>5533</v>
      </c>
      <c r="I77" s="81">
        <f t="shared" ref="I77:I78" si="26">F77*H77</f>
        <v>44264</v>
      </c>
      <c r="J77" s="47" t="s">
        <v>55</v>
      </c>
      <c r="K77" s="47">
        <v>1.03</v>
      </c>
      <c r="L77" s="81">
        <f t="shared" ref="L77" si="27">I77*K77</f>
        <v>45591.92</v>
      </c>
      <c r="M77" s="127">
        <f>SUM(L77:L85)</f>
        <v>163045.3842</v>
      </c>
      <c r="N77" s="127">
        <f>M77*0.2</f>
        <v>32609.076840000002</v>
      </c>
      <c r="O77" s="127">
        <v>195654.46103999999</v>
      </c>
      <c r="P77" s="189">
        <v>213858.15209516158</v>
      </c>
      <c r="Q77" s="127">
        <v>222223.00457106315</v>
      </c>
      <c r="R77" s="124">
        <v>1.0509999999999999</v>
      </c>
      <c r="S77" s="124">
        <v>1.04</v>
      </c>
      <c r="T77" s="124">
        <v>1.0409999999999999</v>
      </c>
      <c r="U77" s="124">
        <v>1.0409999999999999</v>
      </c>
      <c r="V77" s="124">
        <v>1.0409999999999999</v>
      </c>
      <c r="W77" s="124">
        <v>1.042</v>
      </c>
      <c r="X77" s="127">
        <v>0</v>
      </c>
      <c r="Y77" s="127">
        <v>9837.36</v>
      </c>
      <c r="Z77" s="127">
        <v>212385.64457106317</v>
      </c>
      <c r="AA77" s="127">
        <v>0</v>
      </c>
      <c r="AB77" s="127">
        <v>0</v>
      </c>
      <c r="AC77" s="127">
        <v>0</v>
      </c>
      <c r="AD77" s="127">
        <f>(L77+L78+L79+L80+L81+L82+L83+L84+L85)*1.2</f>
        <v>195654.46103999999</v>
      </c>
      <c r="AE77" s="127">
        <f>AF77</f>
        <v>226015.29060882842</v>
      </c>
      <c r="AF77" s="127">
        <f>AM77+AN77+AO77+AP77+AQ77+AR77</f>
        <v>226015.29060882842</v>
      </c>
      <c r="AG77" s="124">
        <v>1.0740000000000001</v>
      </c>
      <c r="AH77" s="124">
        <v>1.0369999999999999</v>
      </c>
      <c r="AI77" s="124">
        <v>1.0389999999999999</v>
      </c>
      <c r="AJ77" s="124">
        <v>1.042</v>
      </c>
      <c r="AK77" s="124">
        <v>1.0429999999999999</v>
      </c>
      <c r="AL77" s="124">
        <v>1.0429999999999999</v>
      </c>
      <c r="AM77" s="127">
        <v>0</v>
      </c>
      <c r="AN77" s="127">
        <f>L78*1.2*AG77*AH77</f>
        <v>10023.642</v>
      </c>
      <c r="AO77" s="127">
        <f>(L77+L79+L80+L81+L82+L83+L84+L85)*1.2*AG77*AH77*AI77</f>
        <v>215991.64860882843</v>
      </c>
      <c r="AP77" s="127">
        <v>0</v>
      </c>
      <c r="AQ77" s="127">
        <v>0</v>
      </c>
      <c r="AR77" s="127">
        <v>0</v>
      </c>
      <c r="AS77" s="127">
        <v>9000</v>
      </c>
      <c r="AT77" s="116">
        <v>10023.642</v>
      </c>
      <c r="AU77" s="124">
        <v>1.0740000000000001</v>
      </c>
      <c r="AV77" s="124">
        <v>1.0369999999999999</v>
      </c>
      <c r="AW77" s="116">
        <v>0</v>
      </c>
      <c r="AX77" s="116">
        <v>10023.642</v>
      </c>
      <c r="AY77" s="116">
        <v>0</v>
      </c>
      <c r="AZ77" s="164">
        <f>AS9-O9</f>
        <v>0</v>
      </c>
      <c r="BA77" s="31">
        <f t="shared" si="20"/>
        <v>185185.83714255263</v>
      </c>
    </row>
    <row r="78" spans="1:54" ht="30" x14ac:dyDescent="0.25">
      <c r="A78" s="183"/>
      <c r="B78" s="180"/>
      <c r="C78" s="166"/>
      <c r="D78" s="47" t="s">
        <v>160</v>
      </c>
      <c r="E78" s="47" t="s">
        <v>41</v>
      </c>
      <c r="F78" s="47">
        <v>1</v>
      </c>
      <c r="G78" s="29" t="s">
        <v>98</v>
      </c>
      <c r="H78" s="47">
        <v>7500</v>
      </c>
      <c r="I78" s="81">
        <f t="shared" si="26"/>
        <v>7500</v>
      </c>
      <c r="J78" s="47" t="s">
        <v>36</v>
      </c>
      <c r="K78" s="47" t="s">
        <v>36</v>
      </c>
      <c r="L78" s="81">
        <f>I78</f>
        <v>7500</v>
      </c>
      <c r="M78" s="128"/>
      <c r="N78" s="128"/>
      <c r="O78" s="128"/>
      <c r="P78" s="190"/>
      <c r="Q78" s="128"/>
      <c r="R78" s="125"/>
      <c r="S78" s="125"/>
      <c r="T78" s="125"/>
      <c r="U78" s="125"/>
      <c r="V78" s="125"/>
      <c r="W78" s="125"/>
      <c r="X78" s="128"/>
      <c r="Y78" s="128"/>
      <c r="Z78" s="128"/>
      <c r="AA78" s="128"/>
      <c r="AB78" s="128"/>
      <c r="AC78" s="128"/>
      <c r="AD78" s="128"/>
      <c r="AE78" s="128"/>
      <c r="AF78" s="128"/>
      <c r="AG78" s="125"/>
      <c r="AH78" s="125"/>
      <c r="AI78" s="125"/>
      <c r="AJ78" s="125"/>
      <c r="AK78" s="125"/>
      <c r="AL78" s="125"/>
      <c r="AM78" s="128"/>
      <c r="AN78" s="128"/>
      <c r="AO78" s="128"/>
      <c r="AP78" s="128"/>
      <c r="AQ78" s="128"/>
      <c r="AR78" s="128"/>
      <c r="AS78" s="128"/>
      <c r="AT78" s="116"/>
      <c r="AU78" s="125"/>
      <c r="AV78" s="125"/>
      <c r="AW78" s="116"/>
      <c r="AX78" s="116"/>
      <c r="AY78" s="116"/>
      <c r="AZ78" s="164"/>
      <c r="BA78" s="31">
        <f t="shared" si="20"/>
        <v>0</v>
      </c>
    </row>
    <row r="79" spans="1:54" ht="18.75" customHeight="1" x14ac:dyDescent="0.25">
      <c r="A79" s="183"/>
      <c r="B79" s="180"/>
      <c r="C79" s="166"/>
      <c r="D79" s="47" t="s">
        <v>161</v>
      </c>
      <c r="E79" s="47" t="s">
        <v>37</v>
      </c>
      <c r="F79" s="47">
        <v>2</v>
      </c>
      <c r="G79" s="46" t="s">
        <v>162</v>
      </c>
      <c r="H79" s="47">
        <v>13695</v>
      </c>
      <c r="I79" s="81">
        <f>H79*F79</f>
        <v>27390</v>
      </c>
      <c r="J79" s="47" t="s">
        <v>92</v>
      </c>
      <c r="K79" s="47">
        <v>1.05</v>
      </c>
      <c r="L79" s="81">
        <f>I79*K79</f>
        <v>28759.5</v>
      </c>
      <c r="M79" s="128"/>
      <c r="N79" s="128"/>
      <c r="O79" s="128"/>
      <c r="P79" s="190"/>
      <c r="Q79" s="128"/>
      <c r="R79" s="125"/>
      <c r="S79" s="125"/>
      <c r="T79" s="125"/>
      <c r="U79" s="125"/>
      <c r="V79" s="125"/>
      <c r="W79" s="125"/>
      <c r="X79" s="128"/>
      <c r="Y79" s="128"/>
      <c r="Z79" s="128"/>
      <c r="AA79" s="128"/>
      <c r="AB79" s="128"/>
      <c r="AC79" s="128"/>
      <c r="AD79" s="128"/>
      <c r="AE79" s="128"/>
      <c r="AF79" s="128"/>
      <c r="AG79" s="125"/>
      <c r="AH79" s="125"/>
      <c r="AI79" s="125"/>
      <c r="AJ79" s="125"/>
      <c r="AK79" s="125"/>
      <c r="AL79" s="125"/>
      <c r="AM79" s="128"/>
      <c r="AN79" s="128"/>
      <c r="AO79" s="128"/>
      <c r="AP79" s="128"/>
      <c r="AQ79" s="128"/>
      <c r="AR79" s="128"/>
      <c r="AS79" s="128"/>
      <c r="AT79" s="116"/>
      <c r="AU79" s="125"/>
      <c r="AV79" s="125"/>
      <c r="AW79" s="116"/>
      <c r="AX79" s="116"/>
      <c r="AY79" s="116"/>
      <c r="AZ79" s="164"/>
      <c r="BA79" s="31">
        <f t="shared" si="20"/>
        <v>0</v>
      </c>
    </row>
    <row r="80" spans="1:54" ht="63" customHeight="1" x14ac:dyDescent="0.25">
      <c r="A80" s="183"/>
      <c r="B80" s="180"/>
      <c r="C80" s="166"/>
      <c r="D80" s="47" t="s">
        <v>163</v>
      </c>
      <c r="E80" s="47" t="s">
        <v>37</v>
      </c>
      <c r="F80" s="47">
        <v>11</v>
      </c>
      <c r="G80" s="46" t="s">
        <v>164</v>
      </c>
      <c r="H80" s="47">
        <v>1188</v>
      </c>
      <c r="I80" s="81">
        <f t="shared" ref="I80:I84" si="28">F80*H80</f>
        <v>13068</v>
      </c>
      <c r="J80" s="47" t="s">
        <v>59</v>
      </c>
      <c r="K80" s="47">
        <v>1.03</v>
      </c>
      <c r="L80" s="81">
        <f>I80*K80</f>
        <v>13460.04</v>
      </c>
      <c r="M80" s="128"/>
      <c r="N80" s="128"/>
      <c r="O80" s="128"/>
      <c r="P80" s="190"/>
      <c r="Q80" s="128"/>
      <c r="R80" s="125"/>
      <c r="S80" s="125"/>
      <c r="T80" s="125"/>
      <c r="U80" s="125"/>
      <c r="V80" s="125"/>
      <c r="W80" s="125"/>
      <c r="X80" s="128"/>
      <c r="Y80" s="128"/>
      <c r="Z80" s="128"/>
      <c r="AA80" s="128"/>
      <c r="AB80" s="128"/>
      <c r="AC80" s="128"/>
      <c r="AD80" s="128"/>
      <c r="AE80" s="128"/>
      <c r="AF80" s="128"/>
      <c r="AG80" s="125"/>
      <c r="AH80" s="125"/>
      <c r="AI80" s="125"/>
      <c r="AJ80" s="125"/>
      <c r="AK80" s="125"/>
      <c r="AL80" s="125"/>
      <c r="AM80" s="128"/>
      <c r="AN80" s="128"/>
      <c r="AO80" s="128"/>
      <c r="AP80" s="128"/>
      <c r="AQ80" s="128"/>
      <c r="AR80" s="128"/>
      <c r="AS80" s="128"/>
      <c r="AT80" s="116"/>
      <c r="AU80" s="125"/>
      <c r="AV80" s="125"/>
      <c r="AW80" s="116"/>
      <c r="AX80" s="116"/>
      <c r="AY80" s="116"/>
      <c r="AZ80" s="164"/>
      <c r="BA80" s="31">
        <f t="shared" si="20"/>
        <v>0</v>
      </c>
    </row>
    <row r="81" spans="1:53" ht="65.25" customHeight="1" x14ac:dyDescent="0.25">
      <c r="A81" s="183"/>
      <c r="B81" s="180"/>
      <c r="C81" s="166"/>
      <c r="D81" s="47" t="s">
        <v>165</v>
      </c>
      <c r="E81" s="47" t="s">
        <v>37</v>
      </c>
      <c r="F81" s="47">
        <v>3</v>
      </c>
      <c r="G81" s="46" t="s">
        <v>166</v>
      </c>
      <c r="H81" s="47">
        <v>1301</v>
      </c>
      <c r="I81" s="81">
        <f t="shared" si="28"/>
        <v>3903</v>
      </c>
      <c r="J81" s="47" t="s">
        <v>59</v>
      </c>
      <c r="K81" s="47">
        <v>1.03</v>
      </c>
      <c r="L81" s="81">
        <f>I81*K81</f>
        <v>4020.09</v>
      </c>
      <c r="M81" s="128"/>
      <c r="N81" s="128"/>
      <c r="O81" s="128"/>
      <c r="P81" s="190"/>
      <c r="Q81" s="128"/>
      <c r="R81" s="125"/>
      <c r="S81" s="125"/>
      <c r="T81" s="125"/>
      <c r="U81" s="125"/>
      <c r="V81" s="125"/>
      <c r="W81" s="125"/>
      <c r="X81" s="128"/>
      <c r="Y81" s="128"/>
      <c r="Z81" s="128"/>
      <c r="AA81" s="128"/>
      <c r="AB81" s="128"/>
      <c r="AC81" s="128"/>
      <c r="AD81" s="128"/>
      <c r="AE81" s="128"/>
      <c r="AF81" s="128"/>
      <c r="AG81" s="125"/>
      <c r="AH81" s="125"/>
      <c r="AI81" s="125"/>
      <c r="AJ81" s="125"/>
      <c r="AK81" s="125"/>
      <c r="AL81" s="125"/>
      <c r="AM81" s="128"/>
      <c r="AN81" s="128"/>
      <c r="AO81" s="128"/>
      <c r="AP81" s="128"/>
      <c r="AQ81" s="128"/>
      <c r="AR81" s="128"/>
      <c r="AS81" s="128"/>
      <c r="AT81" s="116"/>
      <c r="AU81" s="125"/>
      <c r="AV81" s="125"/>
      <c r="AW81" s="116"/>
      <c r="AX81" s="116"/>
      <c r="AY81" s="116"/>
      <c r="AZ81" s="164"/>
      <c r="BA81" s="31">
        <f t="shared" si="20"/>
        <v>0</v>
      </c>
    </row>
    <row r="82" spans="1:53" ht="73.5" customHeight="1" x14ac:dyDescent="0.25">
      <c r="A82" s="183"/>
      <c r="B82" s="180"/>
      <c r="C82" s="166"/>
      <c r="D82" s="47" t="s">
        <v>167</v>
      </c>
      <c r="E82" s="47" t="s">
        <v>34</v>
      </c>
      <c r="F82" s="47">
        <v>5.1959999999999997</v>
      </c>
      <c r="G82" s="89" t="s">
        <v>168</v>
      </c>
      <c r="H82" s="53">
        <v>2270</v>
      </c>
      <c r="I82" s="79">
        <f t="shared" si="28"/>
        <v>11794.92</v>
      </c>
      <c r="J82" s="47" t="s">
        <v>169</v>
      </c>
      <c r="K82" s="47">
        <v>1.05</v>
      </c>
      <c r="L82" s="79">
        <f t="shared" ref="L82:L86" si="29">I82*K82</f>
        <v>12384.666000000001</v>
      </c>
      <c r="M82" s="128"/>
      <c r="N82" s="128"/>
      <c r="O82" s="128"/>
      <c r="P82" s="190"/>
      <c r="Q82" s="128"/>
      <c r="R82" s="125"/>
      <c r="S82" s="125"/>
      <c r="T82" s="125"/>
      <c r="U82" s="125"/>
      <c r="V82" s="125"/>
      <c r="W82" s="125"/>
      <c r="X82" s="128"/>
      <c r="Y82" s="128"/>
      <c r="Z82" s="128"/>
      <c r="AA82" s="128"/>
      <c r="AB82" s="128" t="s">
        <v>183</v>
      </c>
      <c r="AC82" s="128" t="s">
        <v>183</v>
      </c>
      <c r="AD82" s="128"/>
      <c r="AE82" s="128"/>
      <c r="AF82" s="128"/>
      <c r="AG82" s="125"/>
      <c r="AH82" s="125"/>
      <c r="AI82" s="125"/>
      <c r="AJ82" s="125"/>
      <c r="AK82" s="125"/>
      <c r="AL82" s="125"/>
      <c r="AM82" s="128"/>
      <c r="AN82" s="128"/>
      <c r="AO82" s="128"/>
      <c r="AP82" s="128"/>
      <c r="AQ82" s="128"/>
      <c r="AR82" s="128"/>
      <c r="AS82" s="128"/>
      <c r="AT82" s="116"/>
      <c r="AU82" s="125"/>
      <c r="AV82" s="125"/>
      <c r="AW82" s="116"/>
      <c r="AX82" s="116"/>
      <c r="AY82" s="116"/>
      <c r="AZ82" s="164"/>
      <c r="BA82" s="31">
        <f t="shared" si="20"/>
        <v>0</v>
      </c>
    </row>
    <row r="83" spans="1:53" ht="21.75" customHeight="1" x14ac:dyDescent="0.25">
      <c r="A83" s="183"/>
      <c r="B83" s="180"/>
      <c r="C83" s="166"/>
      <c r="D83" s="77" t="s">
        <v>73</v>
      </c>
      <c r="E83" s="77" t="s">
        <v>33</v>
      </c>
      <c r="F83" s="77">
        <v>2</v>
      </c>
      <c r="G83" s="89" t="s">
        <v>74</v>
      </c>
      <c r="H83" s="79">
        <v>1273</v>
      </c>
      <c r="I83" s="79">
        <f t="shared" si="28"/>
        <v>2546</v>
      </c>
      <c r="J83" s="79" t="s">
        <v>54</v>
      </c>
      <c r="K83" s="30">
        <v>1.1000000000000001</v>
      </c>
      <c r="L83" s="79">
        <f>I83*K83</f>
        <v>2800.6000000000004</v>
      </c>
      <c r="M83" s="128"/>
      <c r="N83" s="128"/>
      <c r="O83" s="128"/>
      <c r="P83" s="190"/>
      <c r="Q83" s="128"/>
      <c r="R83" s="125"/>
      <c r="S83" s="125"/>
      <c r="T83" s="125"/>
      <c r="U83" s="125"/>
      <c r="V83" s="125"/>
      <c r="W83" s="125"/>
      <c r="X83" s="128"/>
      <c r="Y83" s="128"/>
      <c r="Z83" s="128"/>
      <c r="AA83" s="128"/>
      <c r="AB83" s="128"/>
      <c r="AC83" s="128"/>
      <c r="AD83" s="128"/>
      <c r="AE83" s="128"/>
      <c r="AF83" s="128"/>
      <c r="AG83" s="125"/>
      <c r="AH83" s="125"/>
      <c r="AI83" s="125"/>
      <c r="AJ83" s="125"/>
      <c r="AK83" s="125"/>
      <c r="AL83" s="125"/>
      <c r="AM83" s="128"/>
      <c r="AN83" s="128"/>
      <c r="AO83" s="128"/>
      <c r="AP83" s="128"/>
      <c r="AQ83" s="128"/>
      <c r="AR83" s="128"/>
      <c r="AS83" s="128"/>
      <c r="AT83" s="116"/>
      <c r="AU83" s="125"/>
      <c r="AV83" s="125"/>
      <c r="AW83" s="116"/>
      <c r="AX83" s="116"/>
      <c r="AY83" s="116"/>
      <c r="AZ83" s="164"/>
      <c r="BA83" s="31">
        <f t="shared" si="20"/>
        <v>0</v>
      </c>
    </row>
    <row r="84" spans="1:53" ht="63.75" customHeight="1" x14ac:dyDescent="0.25">
      <c r="A84" s="183"/>
      <c r="B84" s="180"/>
      <c r="C84" s="166"/>
      <c r="D84" s="77" t="s">
        <v>170</v>
      </c>
      <c r="E84" s="77" t="s">
        <v>171</v>
      </c>
      <c r="F84" s="77">
        <v>7000</v>
      </c>
      <c r="G84" s="29" t="s">
        <v>172</v>
      </c>
      <c r="H84" s="79">
        <v>2.5499999999999998</v>
      </c>
      <c r="I84" s="79">
        <f t="shared" si="28"/>
        <v>17850</v>
      </c>
      <c r="J84" s="79" t="s">
        <v>36</v>
      </c>
      <c r="K84" s="30" t="s">
        <v>36</v>
      </c>
      <c r="L84" s="79">
        <f>I84</f>
        <v>17850</v>
      </c>
      <c r="M84" s="128"/>
      <c r="N84" s="128"/>
      <c r="O84" s="128"/>
      <c r="P84" s="190"/>
      <c r="Q84" s="128"/>
      <c r="R84" s="125"/>
      <c r="S84" s="125"/>
      <c r="T84" s="125"/>
      <c r="U84" s="125"/>
      <c r="V84" s="125"/>
      <c r="W84" s="125"/>
      <c r="X84" s="128"/>
      <c r="Y84" s="128"/>
      <c r="Z84" s="128"/>
      <c r="AA84" s="128"/>
      <c r="AB84" s="128"/>
      <c r="AC84" s="128"/>
      <c r="AD84" s="128"/>
      <c r="AE84" s="128"/>
      <c r="AF84" s="128"/>
      <c r="AG84" s="125"/>
      <c r="AH84" s="125"/>
      <c r="AI84" s="125"/>
      <c r="AJ84" s="125"/>
      <c r="AK84" s="125"/>
      <c r="AL84" s="125"/>
      <c r="AM84" s="128"/>
      <c r="AN84" s="128"/>
      <c r="AO84" s="128"/>
      <c r="AP84" s="128"/>
      <c r="AQ84" s="128"/>
      <c r="AR84" s="128"/>
      <c r="AS84" s="128"/>
      <c r="AT84" s="116"/>
      <c r="AU84" s="125"/>
      <c r="AV84" s="125"/>
      <c r="AW84" s="116"/>
      <c r="AX84" s="116"/>
      <c r="AY84" s="116"/>
      <c r="AZ84" s="164"/>
      <c r="BA84" s="31">
        <f t="shared" si="20"/>
        <v>0</v>
      </c>
    </row>
    <row r="85" spans="1:53" ht="75" customHeight="1" x14ac:dyDescent="0.25">
      <c r="A85" s="184"/>
      <c r="B85" s="181"/>
      <c r="C85" s="167"/>
      <c r="D85" s="47" t="s">
        <v>127</v>
      </c>
      <c r="E85" s="47" t="s">
        <v>173</v>
      </c>
      <c r="F85" s="47">
        <v>289.28399999999999</v>
      </c>
      <c r="G85" s="89" t="s">
        <v>168</v>
      </c>
      <c r="H85" s="53">
        <v>101</v>
      </c>
      <c r="I85" s="79">
        <f>F85*H85</f>
        <v>29217.683999999997</v>
      </c>
      <c r="J85" s="47" t="s">
        <v>169</v>
      </c>
      <c r="K85" s="47">
        <v>1.05</v>
      </c>
      <c r="L85" s="79">
        <f t="shared" si="29"/>
        <v>30678.568199999998</v>
      </c>
      <c r="M85" s="129"/>
      <c r="N85" s="129"/>
      <c r="O85" s="129"/>
      <c r="P85" s="191"/>
      <c r="Q85" s="129"/>
      <c r="R85" s="126"/>
      <c r="S85" s="126"/>
      <c r="T85" s="126"/>
      <c r="U85" s="126"/>
      <c r="V85" s="126"/>
      <c r="W85" s="126"/>
      <c r="X85" s="129"/>
      <c r="Y85" s="129"/>
      <c r="Z85" s="129"/>
      <c r="AA85" s="129"/>
      <c r="AB85" s="129"/>
      <c r="AC85" s="129"/>
      <c r="AD85" s="129"/>
      <c r="AE85" s="129"/>
      <c r="AF85" s="129"/>
      <c r="AG85" s="126"/>
      <c r="AH85" s="126"/>
      <c r="AI85" s="126"/>
      <c r="AJ85" s="126"/>
      <c r="AK85" s="126"/>
      <c r="AL85" s="126"/>
      <c r="AM85" s="129"/>
      <c r="AN85" s="129"/>
      <c r="AO85" s="129"/>
      <c r="AP85" s="129"/>
      <c r="AQ85" s="129"/>
      <c r="AR85" s="129"/>
      <c r="AS85" s="129"/>
      <c r="AT85" s="116"/>
      <c r="AU85" s="126"/>
      <c r="AV85" s="126"/>
      <c r="AW85" s="116"/>
      <c r="AX85" s="116"/>
      <c r="AY85" s="116"/>
      <c r="AZ85" s="164"/>
      <c r="BA85" s="31">
        <f t="shared" si="20"/>
        <v>0</v>
      </c>
    </row>
    <row r="86" spans="1:53" ht="42.75" customHeight="1" x14ac:dyDescent="0.25">
      <c r="A86" s="97">
        <v>15</v>
      </c>
      <c r="B86" s="174" t="s">
        <v>232</v>
      </c>
      <c r="C86" s="103">
        <v>35</v>
      </c>
      <c r="D86" s="77" t="s">
        <v>158</v>
      </c>
      <c r="E86" s="77" t="s">
        <v>33</v>
      </c>
      <c r="F86" s="77">
        <v>10</v>
      </c>
      <c r="G86" s="29" t="s">
        <v>185</v>
      </c>
      <c r="H86" s="79">
        <v>5533</v>
      </c>
      <c r="I86" s="79">
        <f t="shared" ref="I86:I115" si="30">F86*H86</f>
        <v>55330</v>
      </c>
      <c r="J86" s="79" t="s">
        <v>59</v>
      </c>
      <c r="K86" s="30">
        <v>1.03</v>
      </c>
      <c r="L86" s="79">
        <f t="shared" si="29"/>
        <v>56989.9</v>
      </c>
      <c r="M86" s="127">
        <f>SUM(L86:L87)</f>
        <v>58381.9</v>
      </c>
      <c r="N86" s="127">
        <f>M86*0.2</f>
        <v>11676.380000000001</v>
      </c>
      <c r="O86" s="127">
        <v>58381.9</v>
      </c>
      <c r="P86" s="127">
        <v>76506.278755200008</v>
      </c>
      <c r="Q86" s="127">
        <v>79571.056977763204</v>
      </c>
      <c r="R86" s="124">
        <v>1.0509999999999999</v>
      </c>
      <c r="S86" s="124">
        <v>1.04</v>
      </c>
      <c r="T86" s="124">
        <v>1.0409999999999999</v>
      </c>
      <c r="U86" s="124">
        <v>1.0409999999999999</v>
      </c>
      <c r="V86" s="124">
        <v>1.0409999999999999</v>
      </c>
      <c r="W86" s="124">
        <v>1.042</v>
      </c>
      <c r="X86" s="127">
        <v>1755.5903999999998</v>
      </c>
      <c r="Y86" s="127">
        <v>0</v>
      </c>
      <c r="Z86" s="127">
        <v>77815.466577763204</v>
      </c>
      <c r="AA86" s="127">
        <v>0</v>
      </c>
      <c r="AB86" s="127">
        <v>0</v>
      </c>
      <c r="AC86" s="127">
        <v>0</v>
      </c>
      <c r="AD86" s="127">
        <f>M86*1.2</f>
        <v>70058.28</v>
      </c>
      <c r="AE86" s="127">
        <f>AM86+L86*1.2*AG86*AH86*AI86</f>
        <v>83774.527032385449</v>
      </c>
      <c r="AF86" s="127">
        <f>AM86+AN86+AO86+AP86+AQ86+AR86</f>
        <v>83774.527032385449</v>
      </c>
      <c r="AG86" s="124">
        <v>1.0740000000000001</v>
      </c>
      <c r="AH86" s="124">
        <v>1.0620000000000001</v>
      </c>
      <c r="AI86" s="124">
        <v>1.0509999999999999</v>
      </c>
      <c r="AJ86" s="124">
        <v>1.048</v>
      </c>
      <c r="AK86" s="124">
        <v>1.0469999999999999</v>
      </c>
      <c r="AL86" s="124">
        <v>1.0469999999999999</v>
      </c>
      <c r="AM86" s="127">
        <f>L87*1.2*AG86</f>
        <v>1794.0095999999999</v>
      </c>
      <c r="AN86" s="127">
        <v>0</v>
      </c>
      <c r="AO86" s="127">
        <f>L86*1.2*AG86*AH86*AI86</f>
        <v>81980.517432385444</v>
      </c>
      <c r="AP86" s="127">
        <v>0</v>
      </c>
      <c r="AQ86" s="127">
        <v>0</v>
      </c>
      <c r="AR86" s="127">
        <v>0</v>
      </c>
      <c r="AS86" s="79" t="s">
        <v>183</v>
      </c>
      <c r="AT86" s="79" t="s">
        <v>183</v>
      </c>
      <c r="AU86" s="79" t="s">
        <v>183</v>
      </c>
      <c r="AV86" s="79" t="s">
        <v>183</v>
      </c>
      <c r="AW86" s="79" t="s">
        <v>183</v>
      </c>
      <c r="AX86" s="79" t="s">
        <v>183</v>
      </c>
      <c r="AY86" s="79" t="s">
        <v>183</v>
      </c>
      <c r="AZ86" s="175">
        <f>AS9-O9</f>
        <v>0</v>
      </c>
    </row>
    <row r="87" spans="1:53" ht="80.25" customHeight="1" x14ac:dyDescent="0.25">
      <c r="A87" s="98"/>
      <c r="B87" s="163"/>
      <c r="C87" s="104"/>
      <c r="D87" s="77" t="s">
        <v>212</v>
      </c>
      <c r="E87" s="77" t="s">
        <v>33</v>
      </c>
      <c r="F87" s="77">
        <v>1</v>
      </c>
      <c r="G87" s="29"/>
      <c r="H87" s="79">
        <v>1392</v>
      </c>
      <c r="I87" s="79">
        <f t="shared" ref="I87" si="31">F87*H87</f>
        <v>1392</v>
      </c>
      <c r="J87" s="79" t="s">
        <v>36</v>
      </c>
      <c r="K87" s="30" t="s">
        <v>36</v>
      </c>
      <c r="L87" s="79">
        <f>I87</f>
        <v>1392</v>
      </c>
      <c r="M87" s="129"/>
      <c r="N87" s="129"/>
      <c r="O87" s="129"/>
      <c r="P87" s="129"/>
      <c r="Q87" s="129"/>
      <c r="R87" s="126"/>
      <c r="S87" s="126"/>
      <c r="T87" s="126"/>
      <c r="U87" s="126"/>
      <c r="V87" s="126"/>
      <c r="W87" s="126"/>
      <c r="X87" s="129"/>
      <c r="Y87" s="129"/>
      <c r="Z87" s="129"/>
      <c r="AA87" s="129"/>
      <c r="AB87" s="129"/>
      <c r="AC87" s="129"/>
      <c r="AD87" s="129"/>
      <c r="AE87" s="129"/>
      <c r="AF87" s="129"/>
      <c r="AG87" s="126"/>
      <c r="AH87" s="126"/>
      <c r="AI87" s="126"/>
      <c r="AJ87" s="126"/>
      <c r="AK87" s="126"/>
      <c r="AL87" s="126"/>
      <c r="AM87" s="129"/>
      <c r="AN87" s="129"/>
      <c r="AO87" s="129"/>
      <c r="AP87" s="129"/>
      <c r="AQ87" s="129"/>
      <c r="AR87" s="129"/>
      <c r="AS87" s="79" t="s">
        <v>183</v>
      </c>
      <c r="AT87" s="79" t="s">
        <v>183</v>
      </c>
      <c r="AU87" s="79" t="s">
        <v>183</v>
      </c>
      <c r="AV87" s="79" t="s">
        <v>183</v>
      </c>
      <c r="AW87" s="79" t="s">
        <v>183</v>
      </c>
      <c r="AX87" s="79" t="s">
        <v>183</v>
      </c>
      <c r="AY87" s="79" t="s">
        <v>183</v>
      </c>
      <c r="AZ87" s="177"/>
    </row>
    <row r="88" spans="1:53" ht="42.75" customHeight="1" x14ac:dyDescent="0.25">
      <c r="A88" s="97">
        <v>16</v>
      </c>
      <c r="B88" s="174" t="s">
        <v>188</v>
      </c>
      <c r="C88" s="103">
        <v>35</v>
      </c>
      <c r="D88" s="77" t="s">
        <v>163</v>
      </c>
      <c r="E88" s="77" t="s">
        <v>33</v>
      </c>
      <c r="F88" s="77">
        <v>30</v>
      </c>
      <c r="G88" s="29" t="s">
        <v>186</v>
      </c>
      <c r="H88" s="79">
        <v>1188</v>
      </c>
      <c r="I88" s="79">
        <f t="shared" si="30"/>
        <v>35640</v>
      </c>
      <c r="J88" s="79" t="s">
        <v>59</v>
      </c>
      <c r="K88" s="30">
        <v>1.03</v>
      </c>
      <c r="L88" s="79">
        <f>I88*K88</f>
        <v>36709.200000000004</v>
      </c>
      <c r="M88" s="127">
        <f>L88+L89</f>
        <v>39709.200000000004</v>
      </c>
      <c r="N88" s="127">
        <f>M88*0.2</f>
        <v>7941.8400000000011</v>
      </c>
      <c r="O88" s="127">
        <f>M88+N88</f>
        <v>47651.040000000008</v>
      </c>
      <c r="P88" s="127">
        <f>O88*R88*S88</f>
        <v>52084.492761600013</v>
      </c>
      <c r="Q88" s="127">
        <f>X88+Y88+Z88+AA88+AB88+AC88</f>
        <v>56275.027855519438</v>
      </c>
      <c r="R88" s="124">
        <v>1.0509999999999999</v>
      </c>
      <c r="S88" s="124">
        <v>1.04</v>
      </c>
      <c r="T88" s="124">
        <v>1.0409999999999999</v>
      </c>
      <c r="U88" s="124">
        <v>1.0409999999999999</v>
      </c>
      <c r="V88" s="124">
        <v>1.0409999999999999</v>
      </c>
      <c r="W88" s="124">
        <v>1.042</v>
      </c>
      <c r="X88" s="127">
        <v>0</v>
      </c>
      <c r="Y88" s="127">
        <v>0</v>
      </c>
      <c r="Z88" s="127">
        <f>L89*1.2*R88*S88*T88</f>
        <v>4096.2767039999999</v>
      </c>
      <c r="AA88" s="127">
        <f>L88*1.2*R88*S88*T88*U88</f>
        <v>52178.751151519435</v>
      </c>
      <c r="AB88" s="127">
        <v>0</v>
      </c>
      <c r="AC88" s="127">
        <v>0</v>
      </c>
      <c r="AD88" s="127">
        <f>O88</f>
        <v>47651.040000000008</v>
      </c>
      <c r="AE88" s="127">
        <f>AD88*AG88*AH88*AI88</f>
        <v>57122.064836507539</v>
      </c>
      <c r="AF88" s="127">
        <f>AM88+AN88+AO88+AP88+AQ88+AR88</f>
        <v>59656.778568333488</v>
      </c>
      <c r="AG88" s="124">
        <v>1.0740000000000001</v>
      </c>
      <c r="AH88" s="124">
        <v>1.0620000000000001</v>
      </c>
      <c r="AI88" s="124">
        <v>1.0509999999999999</v>
      </c>
      <c r="AJ88" s="124">
        <v>1.048</v>
      </c>
      <c r="AK88" s="124">
        <v>1.0469999999999999</v>
      </c>
      <c r="AL88" s="124">
        <v>1.0469999999999999</v>
      </c>
      <c r="AM88" s="127">
        <v>0</v>
      </c>
      <c r="AN88" s="127">
        <v>0</v>
      </c>
      <c r="AO88" s="127">
        <f>L89*1.2*AG88*AH88*AI88</f>
        <v>4315.5287568000003</v>
      </c>
      <c r="AP88" s="127">
        <f>L88*1.2*AG88*AH88*AI88*AJ88</f>
        <v>55341.249811533489</v>
      </c>
      <c r="AQ88" s="127">
        <v>0</v>
      </c>
      <c r="AR88" s="127">
        <v>0</v>
      </c>
      <c r="AS88" s="79" t="s">
        <v>183</v>
      </c>
      <c r="AT88" s="79" t="s">
        <v>183</v>
      </c>
      <c r="AU88" s="79" t="s">
        <v>183</v>
      </c>
      <c r="AV88" s="79" t="s">
        <v>183</v>
      </c>
      <c r="AW88" s="79" t="s">
        <v>183</v>
      </c>
      <c r="AX88" s="79" t="s">
        <v>183</v>
      </c>
      <c r="AY88" s="79" t="s">
        <v>183</v>
      </c>
      <c r="AZ88" s="78">
        <f>AS9-O9</f>
        <v>0</v>
      </c>
    </row>
    <row r="89" spans="1:53" ht="45" customHeight="1" x14ac:dyDescent="0.25">
      <c r="A89" s="98"/>
      <c r="B89" s="163"/>
      <c r="C89" s="104"/>
      <c r="D89" s="77" t="s">
        <v>105</v>
      </c>
      <c r="E89" s="77" t="s">
        <v>41</v>
      </c>
      <c r="F89" s="77">
        <v>1</v>
      </c>
      <c r="G89" s="29" t="s">
        <v>187</v>
      </c>
      <c r="H89" s="79">
        <v>3000</v>
      </c>
      <c r="I89" s="79">
        <f t="shared" si="30"/>
        <v>3000</v>
      </c>
      <c r="J89" s="79" t="s">
        <v>36</v>
      </c>
      <c r="K89" s="30" t="s">
        <v>36</v>
      </c>
      <c r="L89" s="79">
        <f>I89</f>
        <v>3000</v>
      </c>
      <c r="M89" s="129"/>
      <c r="N89" s="129"/>
      <c r="O89" s="129"/>
      <c r="P89" s="129"/>
      <c r="Q89" s="129"/>
      <c r="R89" s="126"/>
      <c r="S89" s="126"/>
      <c r="T89" s="126"/>
      <c r="U89" s="126"/>
      <c r="V89" s="126"/>
      <c r="W89" s="126"/>
      <c r="X89" s="129"/>
      <c r="Y89" s="129"/>
      <c r="Z89" s="129"/>
      <c r="AA89" s="129"/>
      <c r="AB89" s="129"/>
      <c r="AC89" s="129"/>
      <c r="AD89" s="129"/>
      <c r="AE89" s="129"/>
      <c r="AF89" s="129"/>
      <c r="AG89" s="126"/>
      <c r="AH89" s="126"/>
      <c r="AI89" s="126"/>
      <c r="AJ89" s="126"/>
      <c r="AK89" s="126"/>
      <c r="AL89" s="126"/>
      <c r="AM89" s="129"/>
      <c r="AN89" s="129"/>
      <c r="AO89" s="129"/>
      <c r="AP89" s="129"/>
      <c r="AQ89" s="129"/>
      <c r="AR89" s="129"/>
      <c r="AS89" s="79" t="s">
        <v>183</v>
      </c>
      <c r="AT89" s="79" t="s">
        <v>183</v>
      </c>
      <c r="AU89" s="79" t="s">
        <v>183</v>
      </c>
      <c r="AV89" s="79" t="s">
        <v>183</v>
      </c>
      <c r="AW89" s="79" t="s">
        <v>183</v>
      </c>
      <c r="AX89" s="79" t="s">
        <v>183</v>
      </c>
      <c r="AY89" s="79" t="s">
        <v>183</v>
      </c>
      <c r="AZ89" s="78">
        <f>AS9-O9</f>
        <v>0</v>
      </c>
    </row>
    <row r="90" spans="1:53" ht="76.5" customHeight="1" x14ac:dyDescent="0.25">
      <c r="A90" s="74">
        <v>17</v>
      </c>
      <c r="B90" s="86" t="s">
        <v>191</v>
      </c>
      <c r="C90" s="75">
        <v>110</v>
      </c>
      <c r="D90" s="74" t="s">
        <v>189</v>
      </c>
      <c r="E90" s="48" t="s">
        <v>37</v>
      </c>
      <c r="F90" s="74">
        <v>1</v>
      </c>
      <c r="G90" s="49" t="s">
        <v>190</v>
      </c>
      <c r="H90" s="82">
        <v>28252</v>
      </c>
      <c r="I90" s="82">
        <f t="shared" si="30"/>
        <v>28252</v>
      </c>
      <c r="J90" s="48" t="s">
        <v>92</v>
      </c>
      <c r="K90" s="50">
        <v>1.05</v>
      </c>
      <c r="L90" s="82">
        <f>I90*K90</f>
        <v>29664.600000000002</v>
      </c>
      <c r="M90" s="82">
        <f>L90</f>
        <v>29664.600000000002</v>
      </c>
      <c r="N90" s="82">
        <f t="shared" ref="N90:N95" si="32">M90*0.2</f>
        <v>5932.920000000001</v>
      </c>
      <c r="O90" s="82">
        <f t="shared" ref="O90:O95" si="33">M90+N90</f>
        <v>35597.520000000004</v>
      </c>
      <c r="P90" s="82">
        <f>O90*R90*S90</f>
        <v>38909.513260800006</v>
      </c>
      <c r="Q90" s="82">
        <f>X90+Y90+Z90+AA90+AB90</f>
        <v>42165.500239977002</v>
      </c>
      <c r="R90" s="83">
        <v>1.0509999999999999</v>
      </c>
      <c r="S90" s="83">
        <v>1.04</v>
      </c>
      <c r="T90" s="83">
        <v>1.0409999999999999</v>
      </c>
      <c r="U90" s="83">
        <v>1.0409999999999999</v>
      </c>
      <c r="V90" s="83">
        <v>1.0409999999999999</v>
      </c>
      <c r="W90" s="83">
        <v>1.042</v>
      </c>
      <c r="X90" s="82">
        <v>0</v>
      </c>
      <c r="Y90" s="82">
        <v>0</v>
      </c>
      <c r="Z90" s="82">
        <v>0</v>
      </c>
      <c r="AA90" s="82">
        <f>P90*T90*U90</f>
        <v>42165.500239977002</v>
      </c>
      <c r="AB90" s="82">
        <v>0</v>
      </c>
      <c r="AC90" s="82">
        <v>0</v>
      </c>
      <c r="AD90" s="82">
        <f t="shared" ref="AD90:AD95" si="34">O90</f>
        <v>35597.520000000004</v>
      </c>
      <c r="AE90" s="82">
        <f t="shared" ref="AE90:AE95" si="35">AD90*AG90*AH90*AI90</f>
        <v>42672.811452989765</v>
      </c>
      <c r="AF90" s="82">
        <f t="shared" ref="AF90:AF95" si="36">AM90+AN90+AO90+AP90+AQ90+AR90</f>
        <v>44721.106402733276</v>
      </c>
      <c r="AG90" s="83">
        <v>1.0740000000000001</v>
      </c>
      <c r="AH90" s="83">
        <v>1.0620000000000001</v>
      </c>
      <c r="AI90" s="83">
        <v>1.0509999999999999</v>
      </c>
      <c r="AJ90" s="83">
        <v>1.048</v>
      </c>
      <c r="AK90" s="83">
        <v>1.0469999999999999</v>
      </c>
      <c r="AL90" s="83">
        <v>1.0469999999999999</v>
      </c>
      <c r="AM90" s="82">
        <v>0</v>
      </c>
      <c r="AN90" s="82">
        <v>0</v>
      </c>
      <c r="AO90" s="82">
        <v>0</v>
      </c>
      <c r="AP90" s="82">
        <f>AD90*AG90*AH90*AI90*AJ90</f>
        <v>44721.106402733276</v>
      </c>
      <c r="AQ90" s="82">
        <v>0</v>
      </c>
      <c r="AR90" s="82">
        <v>0</v>
      </c>
      <c r="AS90" s="79" t="s">
        <v>183</v>
      </c>
      <c r="AT90" s="79" t="s">
        <v>183</v>
      </c>
      <c r="AU90" s="79" t="s">
        <v>183</v>
      </c>
      <c r="AV90" s="79" t="s">
        <v>183</v>
      </c>
      <c r="AW90" s="79" t="s">
        <v>183</v>
      </c>
      <c r="AX90" s="79" t="s">
        <v>183</v>
      </c>
      <c r="AY90" s="79" t="s">
        <v>183</v>
      </c>
      <c r="AZ90" s="78">
        <f>AS9-O9</f>
        <v>0</v>
      </c>
    </row>
    <row r="91" spans="1:53" ht="80.25" customHeight="1" x14ac:dyDescent="0.25">
      <c r="A91" s="74">
        <v>18</v>
      </c>
      <c r="B91" s="84" t="s">
        <v>192</v>
      </c>
      <c r="C91" s="72">
        <v>35</v>
      </c>
      <c r="D91" s="77" t="s">
        <v>158</v>
      </c>
      <c r="E91" s="77" t="s">
        <v>33</v>
      </c>
      <c r="F91" s="77">
        <v>6</v>
      </c>
      <c r="G91" s="89" t="s">
        <v>185</v>
      </c>
      <c r="H91" s="79">
        <v>5533</v>
      </c>
      <c r="I91" s="79">
        <f t="shared" si="30"/>
        <v>33198</v>
      </c>
      <c r="J91" s="79" t="s">
        <v>59</v>
      </c>
      <c r="K91" s="30">
        <v>1.03</v>
      </c>
      <c r="L91" s="79">
        <f>I91*K91</f>
        <v>34193.94</v>
      </c>
      <c r="M91" s="82">
        <f>L91</f>
        <v>34193.94</v>
      </c>
      <c r="N91" s="82">
        <f t="shared" si="32"/>
        <v>6838.7880000000005</v>
      </c>
      <c r="O91" s="82">
        <f t="shared" si="33"/>
        <v>41032.728000000003</v>
      </c>
      <c r="P91" s="82">
        <f t="shared" ref="P91:P95" si="37">O91*R91</f>
        <v>43125.397127999997</v>
      </c>
      <c r="Q91" s="82">
        <f>P91*S91*T91*U91</f>
        <v>48603.540424470884</v>
      </c>
      <c r="R91" s="83">
        <v>1.0509999999999999</v>
      </c>
      <c r="S91" s="83">
        <v>1.04</v>
      </c>
      <c r="T91" s="83">
        <v>1.0409999999999999</v>
      </c>
      <c r="U91" s="83">
        <v>1.0409999999999999</v>
      </c>
      <c r="V91" s="83">
        <v>1.0409999999999999</v>
      </c>
      <c r="W91" s="83">
        <v>1.042</v>
      </c>
      <c r="X91" s="82">
        <v>0</v>
      </c>
      <c r="Y91" s="82">
        <v>0</v>
      </c>
      <c r="Z91" s="82">
        <v>0</v>
      </c>
      <c r="AA91" s="82">
        <f>Q91</f>
        <v>48603.540424470884</v>
      </c>
      <c r="AB91" s="82">
        <v>0</v>
      </c>
      <c r="AC91" s="82">
        <v>0</v>
      </c>
      <c r="AD91" s="82">
        <f t="shared" si="34"/>
        <v>41032.728000000003</v>
      </c>
      <c r="AE91" s="82">
        <f t="shared" si="35"/>
        <v>49188.310459431268</v>
      </c>
      <c r="AF91" s="82">
        <f t="shared" si="36"/>
        <v>51549.349361483968</v>
      </c>
      <c r="AG91" s="83">
        <v>1.0740000000000001</v>
      </c>
      <c r="AH91" s="83">
        <v>1.0620000000000001</v>
      </c>
      <c r="AI91" s="83">
        <v>1.0509999999999999</v>
      </c>
      <c r="AJ91" s="83">
        <v>1.048</v>
      </c>
      <c r="AK91" s="83">
        <v>1.0469999999999999</v>
      </c>
      <c r="AL91" s="83">
        <v>1.0469999999999999</v>
      </c>
      <c r="AM91" s="82">
        <v>0</v>
      </c>
      <c r="AN91" s="82">
        <v>0</v>
      </c>
      <c r="AO91" s="82">
        <v>0</v>
      </c>
      <c r="AP91" s="82">
        <f>AD91*AG91*AH91*AI91*AJ91</f>
        <v>51549.349361483968</v>
      </c>
      <c r="AQ91" s="82">
        <v>0</v>
      </c>
      <c r="AR91" s="82">
        <v>0</v>
      </c>
      <c r="AS91" s="79" t="s">
        <v>183</v>
      </c>
      <c r="AT91" s="79" t="s">
        <v>183</v>
      </c>
      <c r="AU91" s="79" t="s">
        <v>183</v>
      </c>
      <c r="AV91" s="79" t="s">
        <v>183</v>
      </c>
      <c r="AW91" s="79" t="s">
        <v>183</v>
      </c>
      <c r="AX91" s="79" t="s">
        <v>183</v>
      </c>
      <c r="AY91" s="79" t="s">
        <v>183</v>
      </c>
      <c r="AZ91" s="87">
        <f>AS9-O9</f>
        <v>0</v>
      </c>
    </row>
    <row r="92" spans="1:53" ht="80.25" customHeight="1" x14ac:dyDescent="0.25">
      <c r="A92" s="74">
        <v>19</v>
      </c>
      <c r="B92" s="84" t="s">
        <v>195</v>
      </c>
      <c r="C92" s="72">
        <v>35</v>
      </c>
      <c r="D92" s="77" t="s">
        <v>193</v>
      </c>
      <c r="E92" s="77" t="s">
        <v>37</v>
      </c>
      <c r="F92" s="77">
        <v>1</v>
      </c>
      <c r="G92" s="89" t="s">
        <v>194</v>
      </c>
      <c r="H92" s="79">
        <v>23169</v>
      </c>
      <c r="I92" s="79">
        <f t="shared" si="30"/>
        <v>23169</v>
      </c>
      <c r="J92" s="79" t="s">
        <v>92</v>
      </c>
      <c r="K92" s="30">
        <v>1.05</v>
      </c>
      <c r="L92" s="79">
        <f t="shared" ref="L92:L94" si="38">I92*K92</f>
        <v>24327.45</v>
      </c>
      <c r="M92" s="82">
        <f>L92</f>
        <v>24327.45</v>
      </c>
      <c r="N92" s="82">
        <f t="shared" si="32"/>
        <v>4865.4900000000007</v>
      </c>
      <c r="O92" s="82">
        <f t="shared" si="33"/>
        <v>29192.940000000002</v>
      </c>
      <c r="P92" s="82">
        <f>O92*R92*S92</f>
        <v>31909.051137600003</v>
      </c>
      <c r="Q92" s="82">
        <f>X92+Y92+Z92+AA92+AB92</f>
        <v>35996.980976125167</v>
      </c>
      <c r="R92" s="83">
        <v>1.0509999999999999</v>
      </c>
      <c r="S92" s="83">
        <v>1.04</v>
      </c>
      <c r="T92" s="83">
        <v>1.0409999999999999</v>
      </c>
      <c r="U92" s="83">
        <v>1.0409999999999999</v>
      </c>
      <c r="V92" s="83">
        <v>1.0409999999999999</v>
      </c>
      <c r="W92" s="83">
        <v>1.042</v>
      </c>
      <c r="X92" s="82">
        <v>0</v>
      </c>
      <c r="Y92" s="82">
        <v>0</v>
      </c>
      <c r="Z92" s="82">
        <v>0</v>
      </c>
      <c r="AA92" s="82">
        <v>0</v>
      </c>
      <c r="AB92" s="82">
        <f>P92*T92*U92*V92</f>
        <v>35996.980976125167</v>
      </c>
      <c r="AC92" s="82">
        <v>0</v>
      </c>
      <c r="AD92" s="82">
        <f>O92</f>
        <v>29192.940000000002</v>
      </c>
      <c r="AE92" s="82">
        <f t="shared" si="35"/>
        <v>34995.270018204727</v>
      </c>
      <c r="AF92" s="82">
        <f t="shared" si="36"/>
        <v>38398.769999095246</v>
      </c>
      <c r="AG92" s="83">
        <v>1.0740000000000001</v>
      </c>
      <c r="AH92" s="83">
        <v>1.0620000000000001</v>
      </c>
      <c r="AI92" s="83">
        <v>1.0509999999999999</v>
      </c>
      <c r="AJ92" s="83">
        <v>1.048</v>
      </c>
      <c r="AK92" s="83">
        <v>1.0469999999999999</v>
      </c>
      <c r="AL92" s="83">
        <v>1.0469999999999999</v>
      </c>
      <c r="AM92" s="82">
        <v>0</v>
      </c>
      <c r="AN92" s="82">
        <v>0</v>
      </c>
      <c r="AO92" s="82">
        <v>0</v>
      </c>
      <c r="AP92" s="82">
        <v>0</v>
      </c>
      <c r="AQ92" s="82">
        <f>AD92*AG92*AH92*AI92*AJ92*AK92</f>
        <v>38398.769999095246</v>
      </c>
      <c r="AR92" s="82">
        <v>0</v>
      </c>
      <c r="AS92" s="79" t="s">
        <v>183</v>
      </c>
      <c r="AT92" s="79" t="s">
        <v>183</v>
      </c>
      <c r="AU92" s="79" t="s">
        <v>183</v>
      </c>
      <c r="AV92" s="79" t="s">
        <v>183</v>
      </c>
      <c r="AW92" s="79" t="s">
        <v>183</v>
      </c>
      <c r="AX92" s="79" t="s">
        <v>183</v>
      </c>
      <c r="AY92" s="79" t="s">
        <v>183</v>
      </c>
      <c r="AZ92" s="87">
        <f>AS9-O9</f>
        <v>0</v>
      </c>
    </row>
    <row r="93" spans="1:53" ht="80.25" customHeight="1" x14ac:dyDescent="0.25">
      <c r="A93" s="74">
        <v>20</v>
      </c>
      <c r="B93" s="84" t="s">
        <v>196</v>
      </c>
      <c r="C93" s="72">
        <v>35</v>
      </c>
      <c r="D93" s="77" t="s">
        <v>197</v>
      </c>
      <c r="E93" s="77" t="s">
        <v>37</v>
      </c>
      <c r="F93" s="77">
        <v>1</v>
      </c>
      <c r="G93" s="89" t="s">
        <v>198</v>
      </c>
      <c r="H93" s="79">
        <v>20978</v>
      </c>
      <c r="I93" s="79">
        <f t="shared" si="30"/>
        <v>20978</v>
      </c>
      <c r="J93" s="79" t="s">
        <v>92</v>
      </c>
      <c r="K93" s="30">
        <v>1.05</v>
      </c>
      <c r="L93" s="79">
        <f t="shared" si="38"/>
        <v>22026.9</v>
      </c>
      <c r="M93" s="82">
        <f>L93</f>
        <v>22026.9</v>
      </c>
      <c r="N93" s="82">
        <f t="shared" si="32"/>
        <v>4405.38</v>
      </c>
      <c r="O93" s="82">
        <f t="shared" si="33"/>
        <v>26432.280000000002</v>
      </c>
      <c r="P93" s="82">
        <f>O93*R93*S93</f>
        <v>28891.539331200001</v>
      </c>
      <c r="Q93" s="82">
        <f>X93+Y93+Z93+AA93+AB93+AC93</f>
        <v>32592.88993556708</v>
      </c>
      <c r="R93" s="83">
        <v>1.0509999999999999</v>
      </c>
      <c r="S93" s="83">
        <v>1.04</v>
      </c>
      <c r="T93" s="83">
        <v>1.0409999999999999</v>
      </c>
      <c r="U93" s="83">
        <v>1.0409999999999999</v>
      </c>
      <c r="V93" s="83">
        <v>1.0409999999999999</v>
      </c>
      <c r="W93" s="83">
        <v>1.042</v>
      </c>
      <c r="X93" s="82">
        <v>0</v>
      </c>
      <c r="Y93" s="82">
        <v>0</v>
      </c>
      <c r="Z93" s="82">
        <v>0</v>
      </c>
      <c r="AA93" s="82">
        <v>0</v>
      </c>
      <c r="AB93" s="82">
        <f>P93*T93*U93*V93</f>
        <v>32592.88993556708</v>
      </c>
      <c r="AC93" s="82">
        <v>0</v>
      </c>
      <c r="AD93" s="82">
        <f t="shared" si="34"/>
        <v>26432.280000000002</v>
      </c>
      <c r="AE93" s="82">
        <f t="shared" si="35"/>
        <v>31685.906791052643</v>
      </c>
      <c r="AF93" s="82">
        <f t="shared" si="36"/>
        <v>34767.551341923259</v>
      </c>
      <c r="AG93" s="83">
        <v>1.0740000000000001</v>
      </c>
      <c r="AH93" s="83">
        <v>1.0620000000000001</v>
      </c>
      <c r="AI93" s="83">
        <v>1.0509999999999999</v>
      </c>
      <c r="AJ93" s="83">
        <v>1.048</v>
      </c>
      <c r="AK93" s="83">
        <v>1.0469999999999999</v>
      </c>
      <c r="AL93" s="83">
        <v>1.0469999999999999</v>
      </c>
      <c r="AM93" s="82">
        <v>0</v>
      </c>
      <c r="AN93" s="82">
        <v>0</v>
      </c>
      <c r="AO93" s="82">
        <v>0</v>
      </c>
      <c r="AP93" s="82">
        <v>0</v>
      </c>
      <c r="AQ93" s="82">
        <f>AD93*AG93*AH93*AI93*AJ93*AK93</f>
        <v>34767.551341923259</v>
      </c>
      <c r="AR93" s="82">
        <v>0</v>
      </c>
      <c r="AS93" s="79" t="s">
        <v>183</v>
      </c>
      <c r="AT93" s="79" t="s">
        <v>183</v>
      </c>
      <c r="AU93" s="79" t="s">
        <v>183</v>
      </c>
      <c r="AV93" s="79" t="s">
        <v>183</v>
      </c>
      <c r="AW93" s="79" t="s">
        <v>183</v>
      </c>
      <c r="AX93" s="79" t="s">
        <v>183</v>
      </c>
      <c r="AY93" s="79" t="s">
        <v>183</v>
      </c>
      <c r="AZ93" s="87">
        <f>AS9-O9</f>
        <v>0</v>
      </c>
    </row>
    <row r="94" spans="1:53" ht="80.25" customHeight="1" x14ac:dyDescent="0.25">
      <c r="A94" s="74">
        <v>21</v>
      </c>
      <c r="B94" s="84" t="s">
        <v>199</v>
      </c>
      <c r="C94" s="72">
        <v>35</v>
      </c>
      <c r="D94" s="77" t="s">
        <v>197</v>
      </c>
      <c r="E94" s="77" t="s">
        <v>37</v>
      </c>
      <c r="F94" s="77">
        <v>1</v>
      </c>
      <c r="G94" s="89" t="s">
        <v>198</v>
      </c>
      <c r="H94" s="79">
        <v>20978</v>
      </c>
      <c r="I94" s="79">
        <f t="shared" si="30"/>
        <v>20978</v>
      </c>
      <c r="J94" s="79" t="s">
        <v>92</v>
      </c>
      <c r="K94" s="30">
        <v>1.05</v>
      </c>
      <c r="L94" s="79">
        <f t="shared" si="38"/>
        <v>22026.9</v>
      </c>
      <c r="M94" s="82">
        <f>L94</f>
        <v>22026.9</v>
      </c>
      <c r="N94" s="82">
        <f t="shared" si="32"/>
        <v>4405.38</v>
      </c>
      <c r="O94" s="82">
        <f t="shared" si="33"/>
        <v>26432.280000000002</v>
      </c>
      <c r="P94" s="82">
        <f>O94*R94*S94</f>
        <v>28891.539331200001</v>
      </c>
      <c r="Q94" s="82">
        <f>X94+Y94+Z94+AA94+AB94+AC94</f>
        <v>32592.88993556708</v>
      </c>
      <c r="R94" s="83">
        <v>1.0509999999999999</v>
      </c>
      <c r="S94" s="83">
        <v>1.04</v>
      </c>
      <c r="T94" s="83">
        <v>1.0409999999999999</v>
      </c>
      <c r="U94" s="83">
        <v>1.0409999999999999</v>
      </c>
      <c r="V94" s="83">
        <v>1.0409999999999999</v>
      </c>
      <c r="W94" s="83">
        <v>1.042</v>
      </c>
      <c r="X94" s="82">
        <v>0</v>
      </c>
      <c r="Y94" s="82">
        <v>0</v>
      </c>
      <c r="Z94" s="82">
        <v>0</v>
      </c>
      <c r="AA94" s="82">
        <v>0</v>
      </c>
      <c r="AB94" s="82">
        <f>P94*T94*U94*V94</f>
        <v>32592.88993556708</v>
      </c>
      <c r="AC94" s="82">
        <v>0</v>
      </c>
      <c r="AD94" s="82">
        <f t="shared" si="34"/>
        <v>26432.280000000002</v>
      </c>
      <c r="AE94" s="82">
        <f t="shared" si="35"/>
        <v>31685.906791052643</v>
      </c>
      <c r="AF94" s="82">
        <f t="shared" si="36"/>
        <v>34767.551341923259</v>
      </c>
      <c r="AG94" s="83">
        <v>1.0740000000000001</v>
      </c>
      <c r="AH94" s="83">
        <v>1.0620000000000001</v>
      </c>
      <c r="AI94" s="83">
        <v>1.0509999999999999</v>
      </c>
      <c r="AJ94" s="83">
        <v>1.048</v>
      </c>
      <c r="AK94" s="83">
        <v>1.0469999999999999</v>
      </c>
      <c r="AL94" s="83">
        <v>1.0469999999999999</v>
      </c>
      <c r="AM94" s="82">
        <v>0</v>
      </c>
      <c r="AN94" s="82">
        <v>0</v>
      </c>
      <c r="AO94" s="82">
        <v>0</v>
      </c>
      <c r="AP94" s="82">
        <v>0</v>
      </c>
      <c r="AQ94" s="82">
        <f>AD94*AG94*AH94*AI94*AJ94*AK94</f>
        <v>34767.551341923259</v>
      </c>
      <c r="AR94" s="82">
        <v>0</v>
      </c>
      <c r="AS94" s="79" t="s">
        <v>183</v>
      </c>
      <c r="AT94" s="79" t="s">
        <v>183</v>
      </c>
      <c r="AU94" s="79" t="s">
        <v>183</v>
      </c>
      <c r="AV94" s="79" t="s">
        <v>183</v>
      </c>
      <c r="AW94" s="79" t="s">
        <v>183</v>
      </c>
      <c r="AX94" s="79" t="s">
        <v>183</v>
      </c>
      <c r="AY94" s="79" t="s">
        <v>183</v>
      </c>
      <c r="AZ94" s="87">
        <f>AS9-O9</f>
        <v>0</v>
      </c>
    </row>
    <row r="95" spans="1:53" ht="75" customHeight="1" x14ac:dyDescent="0.25">
      <c r="A95" s="182">
        <v>22</v>
      </c>
      <c r="B95" s="174" t="s">
        <v>200</v>
      </c>
      <c r="C95" s="103">
        <v>35</v>
      </c>
      <c r="D95" s="77" t="s">
        <v>201</v>
      </c>
      <c r="E95" s="77" t="s">
        <v>33</v>
      </c>
      <c r="F95" s="77">
        <v>5</v>
      </c>
      <c r="G95" s="89" t="s">
        <v>202</v>
      </c>
      <c r="H95" s="79">
        <v>9040</v>
      </c>
      <c r="I95" s="79">
        <f t="shared" si="30"/>
        <v>45200</v>
      </c>
      <c r="J95" s="79" t="s">
        <v>59</v>
      </c>
      <c r="K95" s="30">
        <v>1.03</v>
      </c>
      <c r="L95" s="79">
        <f>I95*K95</f>
        <v>46556</v>
      </c>
      <c r="M95" s="127">
        <f>L95+L96+L97</f>
        <v>55591.839999999997</v>
      </c>
      <c r="N95" s="127">
        <f t="shared" si="32"/>
        <v>11118.368</v>
      </c>
      <c r="O95" s="127">
        <f t="shared" si="33"/>
        <v>66710.207999999999</v>
      </c>
      <c r="P95" s="127">
        <f t="shared" si="37"/>
        <v>70112.428607999987</v>
      </c>
      <c r="Q95" s="127">
        <f>P95*S95*T95*U95*V95</f>
        <v>82258.453183864069</v>
      </c>
      <c r="R95" s="124">
        <v>1.0509999999999999</v>
      </c>
      <c r="S95" s="124">
        <v>1.04</v>
      </c>
      <c r="T95" s="124">
        <v>1.0409999999999999</v>
      </c>
      <c r="U95" s="124">
        <v>1.0409999999999999</v>
      </c>
      <c r="V95" s="124">
        <v>1.0409999999999999</v>
      </c>
      <c r="W95" s="124">
        <v>1.042</v>
      </c>
      <c r="X95" s="127">
        <v>0</v>
      </c>
      <c r="Y95" s="127">
        <v>0</v>
      </c>
      <c r="Z95" s="127">
        <v>0</v>
      </c>
      <c r="AA95" s="127">
        <v>0</v>
      </c>
      <c r="AB95" s="127">
        <f>Q95</f>
        <v>82258.453183864069</v>
      </c>
      <c r="AC95" s="127">
        <v>0</v>
      </c>
      <c r="AD95" s="127">
        <f t="shared" si="34"/>
        <v>66710.207999999999</v>
      </c>
      <c r="AE95" s="127">
        <f t="shared" si="35"/>
        <v>79969.394721141507</v>
      </c>
      <c r="AF95" s="127">
        <f t="shared" si="36"/>
        <v>87746.89817414085</v>
      </c>
      <c r="AG95" s="124">
        <v>1.0740000000000001</v>
      </c>
      <c r="AH95" s="124">
        <v>1.0620000000000001</v>
      </c>
      <c r="AI95" s="124">
        <v>1.0509999999999999</v>
      </c>
      <c r="AJ95" s="124">
        <v>1.048</v>
      </c>
      <c r="AK95" s="124">
        <v>1.0469999999999999</v>
      </c>
      <c r="AL95" s="124">
        <v>1.0469999999999999</v>
      </c>
      <c r="AM95" s="127">
        <v>0</v>
      </c>
      <c r="AN95" s="127">
        <v>0</v>
      </c>
      <c r="AO95" s="127">
        <v>0</v>
      </c>
      <c r="AP95" s="127">
        <v>0</v>
      </c>
      <c r="AQ95" s="127">
        <f>AD95*AG95*AH95*AI95*AJ95*AK95</f>
        <v>87746.89817414085</v>
      </c>
      <c r="AR95" s="127">
        <v>0</v>
      </c>
      <c r="AS95" s="79" t="s">
        <v>183</v>
      </c>
      <c r="AT95" s="79" t="s">
        <v>183</v>
      </c>
      <c r="AU95" s="79" t="s">
        <v>183</v>
      </c>
      <c r="AV95" s="79" t="s">
        <v>183</v>
      </c>
      <c r="AW95" s="79" t="s">
        <v>183</v>
      </c>
      <c r="AX95" s="79" t="s">
        <v>183</v>
      </c>
      <c r="AY95" s="79" t="s">
        <v>183</v>
      </c>
      <c r="AZ95" s="87">
        <f>AS9-O9</f>
        <v>0</v>
      </c>
    </row>
    <row r="96" spans="1:53" ht="75" customHeight="1" x14ac:dyDescent="0.25">
      <c r="A96" s="183"/>
      <c r="B96" s="162"/>
      <c r="C96" s="112"/>
      <c r="D96" s="77" t="s">
        <v>203</v>
      </c>
      <c r="E96" s="77" t="s">
        <v>33</v>
      </c>
      <c r="F96" s="77">
        <v>1</v>
      </c>
      <c r="G96" s="89" t="s">
        <v>204</v>
      </c>
      <c r="H96" s="79">
        <v>1996</v>
      </c>
      <c r="I96" s="79">
        <f t="shared" si="30"/>
        <v>1996</v>
      </c>
      <c r="J96" s="79" t="s">
        <v>100</v>
      </c>
      <c r="K96" s="30">
        <v>1.04</v>
      </c>
      <c r="L96" s="79">
        <f t="shared" ref="L96" si="39">I96*K96</f>
        <v>2075.84</v>
      </c>
      <c r="M96" s="128"/>
      <c r="N96" s="128"/>
      <c r="O96" s="128"/>
      <c r="P96" s="128"/>
      <c r="Q96" s="128"/>
      <c r="R96" s="125"/>
      <c r="S96" s="125"/>
      <c r="T96" s="125"/>
      <c r="U96" s="125"/>
      <c r="V96" s="125"/>
      <c r="W96" s="125"/>
      <c r="X96" s="128"/>
      <c r="Y96" s="128"/>
      <c r="Z96" s="128"/>
      <c r="AA96" s="128"/>
      <c r="AB96" s="128"/>
      <c r="AC96" s="128"/>
      <c r="AD96" s="128"/>
      <c r="AE96" s="128"/>
      <c r="AF96" s="128"/>
      <c r="AG96" s="125"/>
      <c r="AH96" s="125"/>
      <c r="AI96" s="125"/>
      <c r="AJ96" s="125"/>
      <c r="AK96" s="125"/>
      <c r="AL96" s="125"/>
      <c r="AM96" s="128"/>
      <c r="AN96" s="128"/>
      <c r="AO96" s="128"/>
      <c r="AP96" s="128"/>
      <c r="AQ96" s="128"/>
      <c r="AR96" s="128"/>
      <c r="AS96" s="79" t="s">
        <v>183</v>
      </c>
      <c r="AT96" s="79" t="s">
        <v>183</v>
      </c>
      <c r="AU96" s="79" t="s">
        <v>183</v>
      </c>
      <c r="AV96" s="79" t="s">
        <v>183</v>
      </c>
      <c r="AW96" s="79" t="s">
        <v>183</v>
      </c>
      <c r="AX96" s="79" t="s">
        <v>183</v>
      </c>
      <c r="AY96" s="79" t="s">
        <v>183</v>
      </c>
      <c r="AZ96" s="87">
        <f>AS9-O9</f>
        <v>0</v>
      </c>
    </row>
    <row r="97" spans="1:52" ht="75" customHeight="1" x14ac:dyDescent="0.25">
      <c r="A97" s="184"/>
      <c r="B97" s="163"/>
      <c r="C97" s="104"/>
      <c r="D97" s="77" t="s">
        <v>176</v>
      </c>
      <c r="E97" s="77" t="s">
        <v>33</v>
      </c>
      <c r="F97" s="77">
        <v>5</v>
      </c>
      <c r="G97" s="89" t="s">
        <v>74</v>
      </c>
      <c r="H97" s="79">
        <v>1392</v>
      </c>
      <c r="I97" s="79">
        <f t="shared" si="30"/>
        <v>6960</v>
      </c>
      <c r="J97" s="79" t="s">
        <v>36</v>
      </c>
      <c r="K97" s="30" t="s">
        <v>36</v>
      </c>
      <c r="L97" s="79">
        <f>I97</f>
        <v>6960</v>
      </c>
      <c r="M97" s="129"/>
      <c r="N97" s="129"/>
      <c r="O97" s="129"/>
      <c r="P97" s="129"/>
      <c r="Q97" s="129"/>
      <c r="R97" s="126"/>
      <c r="S97" s="126"/>
      <c r="T97" s="126"/>
      <c r="U97" s="126"/>
      <c r="V97" s="126"/>
      <c r="W97" s="126"/>
      <c r="X97" s="129"/>
      <c r="Y97" s="129"/>
      <c r="Z97" s="129"/>
      <c r="AA97" s="129"/>
      <c r="AB97" s="129"/>
      <c r="AC97" s="129"/>
      <c r="AD97" s="129"/>
      <c r="AE97" s="129"/>
      <c r="AF97" s="129"/>
      <c r="AG97" s="126"/>
      <c r="AH97" s="126"/>
      <c r="AI97" s="126"/>
      <c r="AJ97" s="126"/>
      <c r="AK97" s="126"/>
      <c r="AL97" s="126"/>
      <c r="AM97" s="129"/>
      <c r="AN97" s="129"/>
      <c r="AO97" s="129"/>
      <c r="AP97" s="129"/>
      <c r="AQ97" s="129"/>
      <c r="AR97" s="129"/>
      <c r="AS97" s="79" t="s">
        <v>183</v>
      </c>
      <c r="AT97" s="79" t="s">
        <v>183</v>
      </c>
      <c r="AU97" s="79" t="s">
        <v>183</v>
      </c>
      <c r="AV97" s="79" t="s">
        <v>183</v>
      </c>
      <c r="AW97" s="79" t="s">
        <v>183</v>
      </c>
      <c r="AX97" s="79" t="s">
        <v>183</v>
      </c>
      <c r="AY97" s="79" t="s">
        <v>183</v>
      </c>
      <c r="AZ97" s="87">
        <f>AS9-O9</f>
        <v>0</v>
      </c>
    </row>
    <row r="98" spans="1:52" ht="75" customHeight="1" x14ac:dyDescent="0.25">
      <c r="A98" s="182">
        <v>23</v>
      </c>
      <c r="B98" s="139" t="s">
        <v>205</v>
      </c>
      <c r="C98" s="140">
        <v>6</v>
      </c>
      <c r="D98" s="77" t="s">
        <v>38</v>
      </c>
      <c r="E98" s="77" t="s">
        <v>37</v>
      </c>
      <c r="F98" s="77">
        <v>2</v>
      </c>
      <c r="G98" s="89" t="s">
        <v>39</v>
      </c>
      <c r="H98" s="79">
        <v>1663</v>
      </c>
      <c r="I98" s="79">
        <f t="shared" si="30"/>
        <v>3326</v>
      </c>
      <c r="J98" s="79" t="s">
        <v>54</v>
      </c>
      <c r="K98" s="30">
        <v>1.1000000000000001</v>
      </c>
      <c r="L98" s="79">
        <f>I98*K98</f>
        <v>3658.6000000000004</v>
      </c>
      <c r="M98" s="127">
        <f>L98+L99+L100+L101+L102+L103</f>
        <v>5386.3726500000002</v>
      </c>
      <c r="N98" s="127">
        <f>M98*0.2</f>
        <v>1077.2745300000001</v>
      </c>
      <c r="O98" s="127">
        <f>M98+N98</f>
        <v>6463.6471799999999</v>
      </c>
      <c r="P98" s="127">
        <f>O98*R98</f>
        <v>6793.2931861799998</v>
      </c>
      <c r="Q98" s="127">
        <f>P98*S98*T98*U98*V98</f>
        <v>7970.1388272248378</v>
      </c>
      <c r="R98" s="124">
        <v>1.0509999999999999</v>
      </c>
      <c r="S98" s="124">
        <v>1.04</v>
      </c>
      <c r="T98" s="124">
        <v>1.0409999999999999</v>
      </c>
      <c r="U98" s="124">
        <v>1.0409999999999999</v>
      </c>
      <c r="V98" s="124">
        <v>1.0409999999999999</v>
      </c>
      <c r="W98" s="124">
        <v>1.042</v>
      </c>
      <c r="X98" s="127">
        <v>0</v>
      </c>
      <c r="Y98" s="127">
        <v>0</v>
      </c>
      <c r="Z98" s="127">
        <v>0</v>
      </c>
      <c r="AA98" s="127">
        <v>0</v>
      </c>
      <c r="AB98" s="127">
        <f>Q98</f>
        <v>7970.1388272248378</v>
      </c>
      <c r="AC98" s="127">
        <v>0</v>
      </c>
      <c r="AD98" s="127">
        <f>O98</f>
        <v>6463.6471799999999</v>
      </c>
      <c r="AE98" s="127">
        <f>AD98*AG98*AH98*AI98</f>
        <v>7748.3486886386745</v>
      </c>
      <c r="AF98" s="127">
        <f>AM98+AN98+AO98+AP98+AQ98+AR98</f>
        <v>8501.9220887009178</v>
      </c>
      <c r="AG98" s="124">
        <v>1.0740000000000001</v>
      </c>
      <c r="AH98" s="124">
        <v>1.0620000000000001</v>
      </c>
      <c r="AI98" s="124">
        <v>1.0509999999999999</v>
      </c>
      <c r="AJ98" s="124">
        <v>1.048</v>
      </c>
      <c r="AK98" s="124">
        <v>1.0469999999999999</v>
      </c>
      <c r="AL98" s="124">
        <v>1.0469999999999999</v>
      </c>
      <c r="AM98" s="127">
        <v>0</v>
      </c>
      <c r="AN98" s="127">
        <v>0</v>
      </c>
      <c r="AO98" s="127">
        <v>0</v>
      </c>
      <c r="AP98" s="127">
        <v>0</v>
      </c>
      <c r="AQ98" s="127">
        <f>AD98*AG98*AH98*AI98*AJ98*AK98</f>
        <v>8501.9220887009178</v>
      </c>
      <c r="AR98" s="127">
        <v>0</v>
      </c>
      <c r="AS98" s="79" t="s">
        <v>183</v>
      </c>
      <c r="AT98" s="79" t="s">
        <v>183</v>
      </c>
      <c r="AU98" s="79" t="s">
        <v>183</v>
      </c>
      <c r="AV98" s="79" t="s">
        <v>183</v>
      </c>
      <c r="AW98" s="79" t="s">
        <v>183</v>
      </c>
      <c r="AX98" s="79" t="s">
        <v>183</v>
      </c>
      <c r="AY98" s="79" t="s">
        <v>183</v>
      </c>
      <c r="AZ98" s="87">
        <f>AS9-O9</f>
        <v>0</v>
      </c>
    </row>
    <row r="99" spans="1:52" ht="75" customHeight="1" x14ac:dyDescent="0.25">
      <c r="A99" s="183"/>
      <c r="B99" s="139"/>
      <c r="C99" s="140"/>
      <c r="D99" s="77" t="s">
        <v>42</v>
      </c>
      <c r="E99" s="77" t="s">
        <v>34</v>
      </c>
      <c r="F99" s="77">
        <v>1.0609999999999999</v>
      </c>
      <c r="G99" s="29" t="s">
        <v>43</v>
      </c>
      <c r="H99" s="79">
        <v>699</v>
      </c>
      <c r="I99" s="79">
        <f t="shared" si="30"/>
        <v>741.63900000000001</v>
      </c>
      <c r="J99" s="79" t="s">
        <v>55</v>
      </c>
      <c r="K99" s="30">
        <v>1.05</v>
      </c>
      <c r="L99" s="79">
        <f>I99*K99</f>
        <v>778.72095000000002</v>
      </c>
      <c r="M99" s="128"/>
      <c r="N99" s="128"/>
      <c r="O99" s="128"/>
      <c r="P99" s="128"/>
      <c r="Q99" s="128"/>
      <c r="R99" s="125"/>
      <c r="S99" s="125"/>
      <c r="T99" s="125"/>
      <c r="U99" s="125"/>
      <c r="V99" s="125"/>
      <c r="W99" s="125"/>
      <c r="X99" s="128"/>
      <c r="Y99" s="128"/>
      <c r="Z99" s="128"/>
      <c r="AA99" s="128"/>
      <c r="AB99" s="128"/>
      <c r="AC99" s="128"/>
      <c r="AD99" s="128"/>
      <c r="AE99" s="128"/>
      <c r="AF99" s="128"/>
      <c r="AG99" s="125"/>
      <c r="AH99" s="125"/>
      <c r="AI99" s="125"/>
      <c r="AJ99" s="125"/>
      <c r="AK99" s="125"/>
      <c r="AL99" s="125"/>
      <c r="AM99" s="128"/>
      <c r="AN99" s="128"/>
      <c r="AO99" s="128"/>
      <c r="AP99" s="128"/>
      <c r="AQ99" s="128"/>
      <c r="AR99" s="128"/>
      <c r="AS99" s="79" t="s">
        <v>183</v>
      </c>
      <c r="AT99" s="79" t="s">
        <v>183</v>
      </c>
      <c r="AU99" s="79" t="s">
        <v>183</v>
      </c>
      <c r="AV99" s="79" t="s">
        <v>183</v>
      </c>
      <c r="AW99" s="79" t="s">
        <v>183</v>
      </c>
      <c r="AX99" s="79" t="s">
        <v>183</v>
      </c>
      <c r="AY99" s="79" t="s">
        <v>183</v>
      </c>
      <c r="AZ99" s="87">
        <f>AS9-O9</f>
        <v>0</v>
      </c>
    </row>
    <row r="100" spans="1:52" ht="75" customHeight="1" x14ac:dyDescent="0.25">
      <c r="A100" s="183"/>
      <c r="B100" s="139"/>
      <c r="C100" s="140"/>
      <c r="D100" s="77" t="s">
        <v>44</v>
      </c>
      <c r="E100" s="77" t="s">
        <v>45</v>
      </c>
      <c r="F100" s="77">
        <v>6.25</v>
      </c>
      <c r="G100" s="29" t="s">
        <v>46</v>
      </c>
      <c r="H100" s="79">
        <v>17</v>
      </c>
      <c r="I100" s="79">
        <f t="shared" si="30"/>
        <v>106.25</v>
      </c>
      <c r="J100" s="79" t="s">
        <v>55</v>
      </c>
      <c r="K100" s="30">
        <v>1.05</v>
      </c>
      <c r="L100" s="79">
        <f>I100*K100</f>
        <v>111.5625</v>
      </c>
      <c r="M100" s="128"/>
      <c r="N100" s="128"/>
      <c r="O100" s="128"/>
      <c r="P100" s="128"/>
      <c r="Q100" s="128"/>
      <c r="R100" s="125"/>
      <c r="S100" s="125"/>
      <c r="T100" s="125"/>
      <c r="U100" s="125"/>
      <c r="V100" s="125"/>
      <c r="W100" s="125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5"/>
      <c r="AH100" s="125"/>
      <c r="AI100" s="125"/>
      <c r="AJ100" s="125"/>
      <c r="AK100" s="125"/>
      <c r="AL100" s="125"/>
      <c r="AM100" s="128"/>
      <c r="AN100" s="128"/>
      <c r="AO100" s="128"/>
      <c r="AP100" s="128"/>
      <c r="AQ100" s="128"/>
      <c r="AR100" s="128"/>
      <c r="AS100" s="79" t="s">
        <v>183</v>
      </c>
      <c r="AT100" s="79" t="s">
        <v>183</v>
      </c>
      <c r="AU100" s="79" t="s">
        <v>183</v>
      </c>
      <c r="AV100" s="79" t="s">
        <v>183</v>
      </c>
      <c r="AW100" s="79" t="s">
        <v>183</v>
      </c>
      <c r="AX100" s="79" t="s">
        <v>183</v>
      </c>
      <c r="AY100" s="79" t="s">
        <v>183</v>
      </c>
      <c r="AZ100" s="87">
        <f>AS9-O9</f>
        <v>0</v>
      </c>
    </row>
    <row r="101" spans="1:52" ht="75" customHeight="1" x14ac:dyDescent="0.25">
      <c r="A101" s="183"/>
      <c r="B101" s="139"/>
      <c r="C101" s="140"/>
      <c r="D101" s="77" t="s">
        <v>57</v>
      </c>
      <c r="E101" s="77" t="s">
        <v>34</v>
      </c>
      <c r="F101" s="77">
        <v>1.0609999999999999</v>
      </c>
      <c r="G101" s="29" t="s">
        <v>50</v>
      </c>
      <c r="H101" s="79">
        <v>464</v>
      </c>
      <c r="I101" s="79">
        <f t="shared" si="30"/>
        <v>492.30399999999997</v>
      </c>
      <c r="J101" s="79" t="s">
        <v>55</v>
      </c>
      <c r="K101" s="30">
        <v>1.05</v>
      </c>
      <c r="L101" s="79">
        <f>I101*K101</f>
        <v>516.91920000000005</v>
      </c>
      <c r="M101" s="128"/>
      <c r="N101" s="128"/>
      <c r="O101" s="128"/>
      <c r="P101" s="128"/>
      <c r="Q101" s="128"/>
      <c r="R101" s="125"/>
      <c r="S101" s="125"/>
      <c r="T101" s="125"/>
      <c r="U101" s="125"/>
      <c r="V101" s="125"/>
      <c r="W101" s="125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5"/>
      <c r="AH101" s="125"/>
      <c r="AI101" s="125"/>
      <c r="AJ101" s="125"/>
      <c r="AK101" s="125"/>
      <c r="AL101" s="125"/>
      <c r="AM101" s="128"/>
      <c r="AN101" s="128"/>
      <c r="AO101" s="128"/>
      <c r="AP101" s="128"/>
      <c r="AQ101" s="128"/>
      <c r="AR101" s="128"/>
      <c r="AS101" s="79" t="s">
        <v>183</v>
      </c>
      <c r="AT101" s="79" t="s">
        <v>183</v>
      </c>
      <c r="AU101" s="79" t="s">
        <v>183</v>
      </c>
      <c r="AV101" s="79" t="s">
        <v>183</v>
      </c>
      <c r="AW101" s="79" t="s">
        <v>183</v>
      </c>
      <c r="AX101" s="79" t="s">
        <v>183</v>
      </c>
      <c r="AY101" s="79" t="s">
        <v>183</v>
      </c>
      <c r="AZ101" s="87">
        <f>AS9-O9</f>
        <v>0</v>
      </c>
    </row>
    <row r="102" spans="1:52" ht="75" customHeight="1" x14ac:dyDescent="0.25">
      <c r="A102" s="183"/>
      <c r="B102" s="139"/>
      <c r="C102" s="140"/>
      <c r="D102" s="77" t="s">
        <v>48</v>
      </c>
      <c r="E102" s="77" t="s">
        <v>49</v>
      </c>
      <c r="F102" s="77">
        <v>0.11</v>
      </c>
      <c r="G102" s="29" t="s">
        <v>51</v>
      </c>
      <c r="H102" s="79">
        <v>187</v>
      </c>
      <c r="I102" s="79">
        <f t="shared" si="30"/>
        <v>20.57</v>
      </c>
      <c r="J102" s="79" t="s">
        <v>36</v>
      </c>
      <c r="K102" s="30" t="s">
        <v>36</v>
      </c>
      <c r="L102" s="79">
        <f>I102</f>
        <v>20.57</v>
      </c>
      <c r="M102" s="128"/>
      <c r="N102" s="128"/>
      <c r="O102" s="128"/>
      <c r="P102" s="128"/>
      <c r="Q102" s="128"/>
      <c r="R102" s="125"/>
      <c r="S102" s="125"/>
      <c r="T102" s="125"/>
      <c r="U102" s="125"/>
      <c r="V102" s="125"/>
      <c r="W102" s="125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5"/>
      <c r="AH102" s="125"/>
      <c r="AI102" s="125"/>
      <c r="AJ102" s="125"/>
      <c r="AK102" s="125"/>
      <c r="AL102" s="125"/>
      <c r="AM102" s="128"/>
      <c r="AN102" s="128"/>
      <c r="AO102" s="128"/>
      <c r="AP102" s="128"/>
      <c r="AQ102" s="128"/>
      <c r="AR102" s="128"/>
      <c r="AS102" s="79" t="s">
        <v>183</v>
      </c>
      <c r="AT102" s="79" t="s">
        <v>183</v>
      </c>
      <c r="AU102" s="79" t="s">
        <v>183</v>
      </c>
      <c r="AV102" s="79" t="s">
        <v>183</v>
      </c>
      <c r="AW102" s="79" t="s">
        <v>183</v>
      </c>
      <c r="AX102" s="79" t="s">
        <v>183</v>
      </c>
      <c r="AY102" s="79" t="s">
        <v>183</v>
      </c>
      <c r="AZ102" s="87">
        <f>AS9-O9</f>
        <v>0</v>
      </c>
    </row>
    <row r="103" spans="1:52" ht="75" customHeight="1" x14ac:dyDescent="0.25">
      <c r="A103" s="184"/>
      <c r="B103" s="139"/>
      <c r="C103" s="140"/>
      <c r="D103" s="77" t="s">
        <v>40</v>
      </c>
      <c r="E103" s="77" t="s">
        <v>41</v>
      </c>
      <c r="F103" s="77">
        <v>1</v>
      </c>
      <c r="G103" s="29" t="s">
        <v>206</v>
      </c>
      <c r="H103" s="79">
        <v>300</v>
      </c>
      <c r="I103" s="79">
        <f t="shared" si="30"/>
        <v>300</v>
      </c>
      <c r="J103" s="79" t="s">
        <v>36</v>
      </c>
      <c r="K103" s="79" t="s">
        <v>36</v>
      </c>
      <c r="L103" s="79">
        <f>I103</f>
        <v>300</v>
      </c>
      <c r="M103" s="129"/>
      <c r="N103" s="129"/>
      <c r="O103" s="129"/>
      <c r="P103" s="129"/>
      <c r="Q103" s="129"/>
      <c r="R103" s="126"/>
      <c r="S103" s="126"/>
      <c r="T103" s="126"/>
      <c r="U103" s="126"/>
      <c r="V103" s="126"/>
      <c r="W103" s="126"/>
      <c r="X103" s="128"/>
      <c r="Y103" s="128"/>
      <c r="Z103" s="128"/>
      <c r="AA103" s="129"/>
      <c r="AB103" s="129"/>
      <c r="AC103" s="129"/>
      <c r="AD103" s="129"/>
      <c r="AE103" s="129"/>
      <c r="AF103" s="129"/>
      <c r="AG103" s="126"/>
      <c r="AH103" s="126"/>
      <c r="AI103" s="126"/>
      <c r="AJ103" s="126"/>
      <c r="AK103" s="126"/>
      <c r="AL103" s="126"/>
      <c r="AM103" s="129"/>
      <c r="AN103" s="129"/>
      <c r="AO103" s="129"/>
      <c r="AP103" s="129"/>
      <c r="AQ103" s="129"/>
      <c r="AR103" s="129"/>
      <c r="AS103" s="79" t="s">
        <v>183</v>
      </c>
      <c r="AT103" s="79" t="s">
        <v>183</v>
      </c>
      <c r="AU103" s="79" t="s">
        <v>183</v>
      </c>
      <c r="AV103" s="79" t="s">
        <v>183</v>
      </c>
      <c r="AW103" s="79" t="s">
        <v>183</v>
      </c>
      <c r="AX103" s="79" t="s">
        <v>183</v>
      </c>
      <c r="AY103" s="79" t="s">
        <v>183</v>
      </c>
      <c r="AZ103" s="87">
        <f>AS9-O9</f>
        <v>0</v>
      </c>
    </row>
    <row r="104" spans="1:52" s="60" customFormat="1" ht="75" customHeight="1" x14ac:dyDescent="0.25">
      <c r="A104" s="182">
        <v>24</v>
      </c>
      <c r="B104" s="122" t="s">
        <v>233</v>
      </c>
      <c r="C104" s="123">
        <v>6</v>
      </c>
      <c r="D104" s="93" t="s">
        <v>38</v>
      </c>
      <c r="E104" s="93" t="s">
        <v>37</v>
      </c>
      <c r="F104" s="93">
        <v>1</v>
      </c>
      <c r="G104" s="94" t="s">
        <v>39</v>
      </c>
      <c r="H104" s="58">
        <v>1663</v>
      </c>
      <c r="I104" s="58">
        <f t="shared" si="30"/>
        <v>1663</v>
      </c>
      <c r="J104" s="58" t="s">
        <v>54</v>
      </c>
      <c r="K104" s="59">
        <v>1.1000000000000001</v>
      </c>
      <c r="L104" s="58">
        <f>I104*K104</f>
        <v>1829.3000000000002</v>
      </c>
      <c r="M104" s="168">
        <f>L104+L106+L107+L108+L109</f>
        <v>3894.7388000000005</v>
      </c>
      <c r="N104" s="168">
        <f>M104*0.2</f>
        <v>778.94776000000013</v>
      </c>
      <c r="O104" s="168">
        <f>M104+N104</f>
        <v>4673.686560000001</v>
      </c>
      <c r="P104" s="168">
        <f>O104*R104*S104</f>
        <v>5108.5263575424015</v>
      </c>
      <c r="Q104" s="168">
        <f>AB104</f>
        <v>7757.8704574623134</v>
      </c>
      <c r="R104" s="196">
        <v>1.0509999999999999</v>
      </c>
      <c r="S104" s="196">
        <v>1.04</v>
      </c>
      <c r="T104" s="196">
        <v>1.0409999999999999</v>
      </c>
      <c r="U104" s="196">
        <v>1.0409999999999999</v>
      </c>
      <c r="V104" s="196">
        <v>1.0409999999999999</v>
      </c>
      <c r="W104" s="196">
        <v>1.042</v>
      </c>
      <c r="X104" s="168">
        <v>0</v>
      </c>
      <c r="Y104" s="168">
        <v>0</v>
      </c>
      <c r="Z104" s="168">
        <v>0</v>
      </c>
      <c r="AA104" s="168">
        <v>0</v>
      </c>
      <c r="AB104" s="168">
        <f>O104*T104*U104*V104*1.4*R104</f>
        <v>7757.8704574623134</v>
      </c>
      <c r="AC104" s="168">
        <v>0</v>
      </c>
      <c r="AD104" s="168">
        <f>SUM(L104:L109)*1.2</f>
        <v>5208.1155600000011</v>
      </c>
      <c r="AE104" s="168">
        <f>AD104*AG104*AH104*AI104</f>
        <v>6243.2701299770943</v>
      </c>
      <c r="AF104" s="168">
        <f>AM104+AN104+AO104+AP104+AQ104+AR104</f>
        <v>6850.4656097381458</v>
      </c>
      <c r="AG104" s="196">
        <v>1.0740000000000001</v>
      </c>
      <c r="AH104" s="196">
        <v>1.0620000000000001</v>
      </c>
      <c r="AI104" s="196">
        <v>1.0509999999999999</v>
      </c>
      <c r="AJ104" s="196">
        <v>1.048</v>
      </c>
      <c r="AK104" s="196">
        <v>1.0469999999999999</v>
      </c>
      <c r="AL104" s="196">
        <v>1.0469999999999999</v>
      </c>
      <c r="AM104" s="168">
        <v>0</v>
      </c>
      <c r="AN104" s="168">
        <v>0</v>
      </c>
      <c r="AO104" s="168">
        <v>0</v>
      </c>
      <c r="AP104" s="168">
        <v>0</v>
      </c>
      <c r="AQ104" s="168">
        <f>AD104*AG104*AH104*AI104*AJ104*AK104</f>
        <v>6850.4656097381458</v>
      </c>
      <c r="AR104" s="168">
        <v>0</v>
      </c>
      <c r="AS104" s="79" t="s">
        <v>183</v>
      </c>
      <c r="AT104" s="79" t="s">
        <v>183</v>
      </c>
      <c r="AU104" s="79" t="s">
        <v>183</v>
      </c>
      <c r="AV104" s="79" t="s">
        <v>183</v>
      </c>
      <c r="AW104" s="79" t="s">
        <v>183</v>
      </c>
      <c r="AX104" s="79" t="s">
        <v>183</v>
      </c>
      <c r="AY104" s="79" t="s">
        <v>183</v>
      </c>
      <c r="AZ104" s="91">
        <f>AS9-O9</f>
        <v>0</v>
      </c>
    </row>
    <row r="105" spans="1:52" s="60" customFormat="1" ht="75" customHeight="1" x14ac:dyDescent="0.25">
      <c r="A105" s="192"/>
      <c r="B105" s="122"/>
      <c r="C105" s="123"/>
      <c r="D105" s="93" t="s">
        <v>44</v>
      </c>
      <c r="E105" s="93" t="s">
        <v>45</v>
      </c>
      <c r="F105" s="93">
        <v>24.95</v>
      </c>
      <c r="G105" s="94" t="s">
        <v>46</v>
      </c>
      <c r="H105" s="58">
        <v>17</v>
      </c>
      <c r="I105" s="58">
        <f t="shared" si="30"/>
        <v>424.15</v>
      </c>
      <c r="J105" s="58" t="s">
        <v>55</v>
      </c>
      <c r="K105" s="59">
        <v>1.05</v>
      </c>
      <c r="L105" s="58">
        <f>I105*K105</f>
        <v>445.35750000000002</v>
      </c>
      <c r="M105" s="169"/>
      <c r="N105" s="169"/>
      <c r="O105" s="169"/>
      <c r="P105" s="194"/>
      <c r="Q105" s="169"/>
      <c r="R105" s="197"/>
      <c r="S105" s="197"/>
      <c r="T105" s="197"/>
      <c r="U105" s="197"/>
      <c r="V105" s="197"/>
      <c r="W105" s="197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97"/>
      <c r="AH105" s="197"/>
      <c r="AI105" s="197"/>
      <c r="AJ105" s="197"/>
      <c r="AK105" s="197"/>
      <c r="AL105" s="197"/>
      <c r="AM105" s="169"/>
      <c r="AN105" s="169"/>
      <c r="AO105" s="169"/>
      <c r="AP105" s="169"/>
      <c r="AQ105" s="169"/>
      <c r="AR105" s="169"/>
      <c r="AS105" s="79"/>
      <c r="AT105" s="79"/>
      <c r="AU105" s="79"/>
      <c r="AV105" s="79"/>
      <c r="AW105" s="79"/>
      <c r="AX105" s="79"/>
      <c r="AY105" s="79"/>
      <c r="AZ105" s="91"/>
    </row>
    <row r="106" spans="1:52" s="60" customFormat="1" ht="75" customHeight="1" x14ac:dyDescent="0.25">
      <c r="A106" s="193"/>
      <c r="B106" s="122"/>
      <c r="C106" s="123"/>
      <c r="D106" s="93" t="s">
        <v>42</v>
      </c>
      <c r="E106" s="93" t="s">
        <v>34</v>
      </c>
      <c r="F106" s="93">
        <v>1.488</v>
      </c>
      <c r="G106" s="57" t="s">
        <v>43</v>
      </c>
      <c r="H106" s="58">
        <v>699</v>
      </c>
      <c r="I106" s="58">
        <f t="shared" si="30"/>
        <v>1040.1120000000001</v>
      </c>
      <c r="J106" s="58" t="s">
        <v>55</v>
      </c>
      <c r="K106" s="59">
        <v>1.05</v>
      </c>
      <c r="L106" s="58">
        <f>I106*K106</f>
        <v>1092.1176</v>
      </c>
      <c r="M106" s="170"/>
      <c r="N106" s="170"/>
      <c r="O106" s="170"/>
      <c r="P106" s="195"/>
      <c r="Q106" s="170"/>
      <c r="R106" s="198"/>
      <c r="S106" s="198"/>
      <c r="T106" s="198"/>
      <c r="U106" s="198"/>
      <c r="V106" s="198"/>
      <c r="W106" s="198"/>
      <c r="X106" s="170"/>
      <c r="Y106" s="170"/>
      <c r="Z106" s="170"/>
      <c r="AA106" s="170"/>
      <c r="AB106" s="170"/>
      <c r="AC106" s="170"/>
      <c r="AD106" s="170"/>
      <c r="AE106" s="169"/>
      <c r="AF106" s="170"/>
      <c r="AG106" s="198"/>
      <c r="AH106" s="198"/>
      <c r="AI106" s="198"/>
      <c r="AJ106" s="198"/>
      <c r="AK106" s="198"/>
      <c r="AL106" s="198"/>
      <c r="AM106" s="170"/>
      <c r="AN106" s="170"/>
      <c r="AO106" s="170"/>
      <c r="AP106" s="170"/>
      <c r="AQ106" s="170"/>
      <c r="AR106" s="170"/>
      <c r="AS106" s="79" t="s">
        <v>183</v>
      </c>
      <c r="AT106" s="79" t="s">
        <v>183</v>
      </c>
      <c r="AU106" s="79" t="s">
        <v>183</v>
      </c>
      <c r="AV106" s="79" t="s">
        <v>183</v>
      </c>
      <c r="AW106" s="79" t="s">
        <v>183</v>
      </c>
      <c r="AX106" s="79" t="s">
        <v>183</v>
      </c>
      <c r="AY106" s="79" t="s">
        <v>183</v>
      </c>
      <c r="AZ106" s="91">
        <f>AS9-O9</f>
        <v>0</v>
      </c>
    </row>
    <row r="107" spans="1:52" s="60" customFormat="1" ht="75" customHeight="1" x14ac:dyDescent="0.25">
      <c r="A107" s="193"/>
      <c r="B107" s="122"/>
      <c r="C107" s="123"/>
      <c r="D107" s="93" t="s">
        <v>57</v>
      </c>
      <c r="E107" s="93" t="s">
        <v>34</v>
      </c>
      <c r="F107" s="93">
        <v>1.488</v>
      </c>
      <c r="G107" s="57" t="s">
        <v>58</v>
      </c>
      <c r="H107" s="58">
        <v>413</v>
      </c>
      <c r="I107" s="58">
        <f t="shared" si="30"/>
        <v>614.54399999999998</v>
      </c>
      <c r="J107" s="58" t="s">
        <v>55</v>
      </c>
      <c r="K107" s="59">
        <v>1.05</v>
      </c>
      <c r="L107" s="58">
        <f>I107*K107</f>
        <v>645.27120000000002</v>
      </c>
      <c r="M107" s="170"/>
      <c r="N107" s="170"/>
      <c r="O107" s="170"/>
      <c r="P107" s="195"/>
      <c r="Q107" s="170"/>
      <c r="R107" s="198"/>
      <c r="S107" s="198"/>
      <c r="T107" s="198"/>
      <c r="U107" s="198"/>
      <c r="V107" s="198"/>
      <c r="W107" s="198"/>
      <c r="X107" s="170"/>
      <c r="Y107" s="170"/>
      <c r="Z107" s="170"/>
      <c r="AA107" s="170"/>
      <c r="AB107" s="170"/>
      <c r="AC107" s="170"/>
      <c r="AD107" s="170"/>
      <c r="AE107" s="169"/>
      <c r="AF107" s="170"/>
      <c r="AG107" s="198"/>
      <c r="AH107" s="198"/>
      <c r="AI107" s="198"/>
      <c r="AJ107" s="198"/>
      <c r="AK107" s="198"/>
      <c r="AL107" s="198"/>
      <c r="AM107" s="170"/>
      <c r="AN107" s="170"/>
      <c r="AO107" s="170"/>
      <c r="AP107" s="170"/>
      <c r="AQ107" s="170"/>
      <c r="AR107" s="170"/>
      <c r="AS107" s="79" t="s">
        <v>183</v>
      </c>
      <c r="AT107" s="79" t="s">
        <v>183</v>
      </c>
      <c r="AU107" s="79" t="s">
        <v>183</v>
      </c>
      <c r="AV107" s="79" t="s">
        <v>183</v>
      </c>
      <c r="AW107" s="79" t="s">
        <v>183</v>
      </c>
      <c r="AX107" s="79" t="s">
        <v>183</v>
      </c>
      <c r="AY107" s="79" t="s">
        <v>183</v>
      </c>
      <c r="AZ107" s="91">
        <f>AS9-O9</f>
        <v>0</v>
      </c>
    </row>
    <row r="108" spans="1:52" s="60" customFormat="1" ht="75" customHeight="1" x14ac:dyDescent="0.25">
      <c r="A108" s="193"/>
      <c r="B108" s="122"/>
      <c r="C108" s="123"/>
      <c r="D108" s="93" t="s">
        <v>48</v>
      </c>
      <c r="E108" s="93" t="s">
        <v>49</v>
      </c>
      <c r="F108" s="93">
        <v>0.15</v>
      </c>
      <c r="G108" s="57" t="s">
        <v>51</v>
      </c>
      <c r="H108" s="58">
        <v>187</v>
      </c>
      <c r="I108" s="58">
        <f t="shared" si="30"/>
        <v>28.05</v>
      </c>
      <c r="J108" s="58" t="s">
        <v>36</v>
      </c>
      <c r="K108" s="59" t="s">
        <v>36</v>
      </c>
      <c r="L108" s="58">
        <f>I108</f>
        <v>28.05</v>
      </c>
      <c r="M108" s="170"/>
      <c r="N108" s="170"/>
      <c r="O108" s="170"/>
      <c r="P108" s="195"/>
      <c r="Q108" s="170"/>
      <c r="R108" s="198"/>
      <c r="S108" s="198"/>
      <c r="T108" s="198"/>
      <c r="U108" s="198"/>
      <c r="V108" s="198"/>
      <c r="W108" s="198"/>
      <c r="X108" s="170"/>
      <c r="Y108" s="170"/>
      <c r="Z108" s="170"/>
      <c r="AA108" s="170"/>
      <c r="AB108" s="170"/>
      <c r="AC108" s="170"/>
      <c r="AD108" s="170"/>
      <c r="AE108" s="169"/>
      <c r="AF108" s="170"/>
      <c r="AG108" s="198"/>
      <c r="AH108" s="198"/>
      <c r="AI108" s="198"/>
      <c r="AJ108" s="198"/>
      <c r="AK108" s="198"/>
      <c r="AL108" s="198"/>
      <c r="AM108" s="170"/>
      <c r="AN108" s="170"/>
      <c r="AO108" s="170"/>
      <c r="AP108" s="170"/>
      <c r="AQ108" s="170"/>
      <c r="AR108" s="170"/>
      <c r="AS108" s="79" t="s">
        <v>183</v>
      </c>
      <c r="AT108" s="79" t="s">
        <v>183</v>
      </c>
      <c r="AU108" s="79" t="s">
        <v>183</v>
      </c>
      <c r="AV108" s="79" t="s">
        <v>183</v>
      </c>
      <c r="AW108" s="79" t="s">
        <v>183</v>
      </c>
      <c r="AX108" s="79" t="s">
        <v>183</v>
      </c>
      <c r="AY108" s="79" t="s">
        <v>183</v>
      </c>
      <c r="AZ108" s="91">
        <f>AS9-O9</f>
        <v>0</v>
      </c>
    </row>
    <row r="109" spans="1:52" s="60" customFormat="1" ht="75" customHeight="1" x14ac:dyDescent="0.25">
      <c r="A109" s="193"/>
      <c r="B109" s="122"/>
      <c r="C109" s="123"/>
      <c r="D109" s="93" t="s">
        <v>40</v>
      </c>
      <c r="E109" s="93" t="s">
        <v>41</v>
      </c>
      <c r="F109" s="93">
        <v>1</v>
      </c>
      <c r="G109" s="57" t="s">
        <v>206</v>
      </c>
      <c r="H109" s="58">
        <v>300</v>
      </c>
      <c r="I109" s="58">
        <f t="shared" si="30"/>
        <v>300</v>
      </c>
      <c r="J109" s="58" t="s">
        <v>36</v>
      </c>
      <c r="K109" s="59" t="s">
        <v>36</v>
      </c>
      <c r="L109" s="58">
        <f>I109</f>
        <v>300</v>
      </c>
      <c r="M109" s="170"/>
      <c r="N109" s="170"/>
      <c r="O109" s="170"/>
      <c r="P109" s="195"/>
      <c r="Q109" s="170"/>
      <c r="R109" s="198"/>
      <c r="S109" s="198"/>
      <c r="T109" s="198"/>
      <c r="U109" s="198"/>
      <c r="V109" s="198"/>
      <c r="W109" s="198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98"/>
      <c r="AH109" s="198"/>
      <c r="AI109" s="198"/>
      <c r="AJ109" s="198"/>
      <c r="AK109" s="198"/>
      <c r="AL109" s="198"/>
      <c r="AM109" s="170"/>
      <c r="AN109" s="170"/>
      <c r="AO109" s="170"/>
      <c r="AP109" s="170"/>
      <c r="AQ109" s="170"/>
      <c r="AR109" s="170"/>
      <c r="AS109" s="79" t="s">
        <v>183</v>
      </c>
      <c r="AT109" s="79" t="s">
        <v>183</v>
      </c>
      <c r="AU109" s="79" t="s">
        <v>183</v>
      </c>
      <c r="AV109" s="79" t="s">
        <v>183</v>
      </c>
      <c r="AW109" s="79" t="s">
        <v>183</v>
      </c>
      <c r="AX109" s="79" t="s">
        <v>183</v>
      </c>
      <c r="AY109" s="79" t="s">
        <v>183</v>
      </c>
      <c r="AZ109" s="91">
        <f>AS9-O9</f>
        <v>0</v>
      </c>
    </row>
    <row r="110" spans="1:52" ht="108.75" customHeight="1" x14ac:dyDescent="0.25">
      <c r="A110" s="74">
        <v>25</v>
      </c>
      <c r="B110" s="89" t="s">
        <v>260</v>
      </c>
      <c r="C110" s="80">
        <v>35</v>
      </c>
      <c r="D110" s="77" t="s">
        <v>197</v>
      </c>
      <c r="E110" s="77" t="s">
        <v>37</v>
      </c>
      <c r="F110" s="77">
        <v>1</v>
      </c>
      <c r="G110" s="89" t="s">
        <v>198</v>
      </c>
      <c r="H110" s="79">
        <v>20978</v>
      </c>
      <c r="I110" s="79">
        <f t="shared" si="30"/>
        <v>20978</v>
      </c>
      <c r="J110" s="79" t="s">
        <v>92</v>
      </c>
      <c r="K110" s="30">
        <v>1.05</v>
      </c>
      <c r="L110" s="79">
        <f t="shared" ref="L110" si="40">I110*K110</f>
        <v>22026.9</v>
      </c>
      <c r="M110" s="79">
        <f>L110</f>
        <v>22026.9</v>
      </c>
      <c r="N110" s="79">
        <f>M110*0.2</f>
        <v>4405.38</v>
      </c>
      <c r="O110" s="79">
        <f>M110+N110</f>
        <v>26432.280000000002</v>
      </c>
      <c r="P110" s="79">
        <f>O110*R110*S110</f>
        <v>28891.539331200001</v>
      </c>
      <c r="Q110" s="79">
        <f>X110+Y110+Z110+AA110+AB110+AC110</f>
        <v>33961.7913128609</v>
      </c>
      <c r="R110" s="83">
        <v>1.0509999999999999</v>
      </c>
      <c r="S110" s="83">
        <v>1.04</v>
      </c>
      <c r="T110" s="83">
        <v>1.0409999999999999</v>
      </c>
      <c r="U110" s="83">
        <v>1.0409999999999999</v>
      </c>
      <c r="V110" s="83">
        <v>1.0409999999999999</v>
      </c>
      <c r="W110" s="83">
        <v>1.042</v>
      </c>
      <c r="X110" s="79">
        <v>0</v>
      </c>
      <c r="Y110" s="79">
        <v>0</v>
      </c>
      <c r="Z110" s="79">
        <v>0</v>
      </c>
      <c r="AA110" s="79">
        <v>0</v>
      </c>
      <c r="AB110" s="79">
        <v>0</v>
      </c>
      <c r="AC110" s="79">
        <f>P110*T110*U110*V110*W110</f>
        <v>33961.7913128609</v>
      </c>
      <c r="AD110" s="79">
        <f>L110*1.2</f>
        <v>26432.280000000002</v>
      </c>
      <c r="AE110" s="79">
        <f>AD110*AG110*AH110*AI110</f>
        <v>31685.906791052643</v>
      </c>
      <c r="AF110" s="79">
        <f>AM110+AN110+AO110+AP110+AQ110+AR110</f>
        <v>36401.626254993651</v>
      </c>
      <c r="AG110" s="83">
        <v>1.0740000000000001</v>
      </c>
      <c r="AH110" s="83">
        <v>1.0620000000000001</v>
      </c>
      <c r="AI110" s="83">
        <v>1.0509999999999999</v>
      </c>
      <c r="AJ110" s="83">
        <v>1.048</v>
      </c>
      <c r="AK110" s="83">
        <v>1.0469999999999999</v>
      </c>
      <c r="AL110" s="83">
        <v>1.0469999999999999</v>
      </c>
      <c r="AM110" s="82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f>AD110*AG110*AH110*AI110*AJ110*AK110*AL110</f>
        <v>36401.626254993651</v>
      </c>
      <c r="AS110" s="79" t="s">
        <v>183</v>
      </c>
      <c r="AT110" s="79" t="s">
        <v>183</v>
      </c>
      <c r="AU110" s="79" t="s">
        <v>183</v>
      </c>
      <c r="AV110" s="79" t="s">
        <v>183</v>
      </c>
      <c r="AW110" s="79" t="s">
        <v>183</v>
      </c>
      <c r="AX110" s="79" t="s">
        <v>183</v>
      </c>
      <c r="AY110" s="79" t="s">
        <v>183</v>
      </c>
      <c r="AZ110" s="78">
        <f>AS9-O9</f>
        <v>0</v>
      </c>
    </row>
    <row r="111" spans="1:52" ht="80.25" customHeight="1" x14ac:dyDescent="0.25">
      <c r="A111" s="74">
        <v>26</v>
      </c>
      <c r="B111" s="89" t="s">
        <v>207</v>
      </c>
      <c r="C111" s="80">
        <v>110</v>
      </c>
      <c r="D111" s="77" t="s">
        <v>189</v>
      </c>
      <c r="E111" s="77" t="s">
        <v>37</v>
      </c>
      <c r="F111" s="77">
        <v>1</v>
      </c>
      <c r="G111" s="89" t="s">
        <v>190</v>
      </c>
      <c r="H111" s="79">
        <v>28252</v>
      </c>
      <c r="I111" s="79">
        <f t="shared" si="30"/>
        <v>28252</v>
      </c>
      <c r="J111" s="79" t="s">
        <v>92</v>
      </c>
      <c r="K111" s="30">
        <v>1.05</v>
      </c>
      <c r="L111" s="79">
        <f>I111*K111</f>
        <v>29664.600000000002</v>
      </c>
      <c r="M111" s="79">
        <f>L111</f>
        <v>29664.600000000002</v>
      </c>
      <c r="N111" s="79">
        <f>M111*0.2</f>
        <v>5932.920000000001</v>
      </c>
      <c r="O111" s="79">
        <f>M111+N111</f>
        <v>35597.520000000004</v>
      </c>
      <c r="P111" s="79">
        <f>O111*R111*S111</f>
        <v>38909.513260800006</v>
      </c>
      <c r="Q111" s="79">
        <f>X111+Y111+Z111+AA111+AB111+AC111</f>
        <v>45737.845751308327</v>
      </c>
      <c r="R111" s="83">
        <v>1.0509999999999999</v>
      </c>
      <c r="S111" s="83">
        <v>1.04</v>
      </c>
      <c r="T111" s="83">
        <v>1.0409999999999999</v>
      </c>
      <c r="U111" s="83">
        <v>1.0409999999999999</v>
      </c>
      <c r="V111" s="83">
        <v>1.0409999999999999</v>
      </c>
      <c r="W111" s="83">
        <v>1.042</v>
      </c>
      <c r="X111" s="79">
        <v>0</v>
      </c>
      <c r="Y111" s="79">
        <v>0</v>
      </c>
      <c r="Z111" s="79">
        <v>0</v>
      </c>
      <c r="AA111" s="79">
        <v>0</v>
      </c>
      <c r="AB111" s="79">
        <v>0</v>
      </c>
      <c r="AC111" s="79">
        <f>O111*T111*U111*V111*W111*R111*S111</f>
        <v>45737.845751308327</v>
      </c>
      <c r="AD111" s="79">
        <f>O111</f>
        <v>35597.520000000004</v>
      </c>
      <c r="AE111" s="79">
        <f>AD111*AG111*AH111*AI111</f>
        <v>42672.811452989765</v>
      </c>
      <c r="AF111" s="79">
        <f>AM111+AN111+AO111+AP111+AQ111+AR111</f>
        <v>49023.679328633836</v>
      </c>
      <c r="AG111" s="83">
        <v>1.0740000000000001</v>
      </c>
      <c r="AH111" s="83">
        <v>1.0620000000000001</v>
      </c>
      <c r="AI111" s="83">
        <v>1.0509999999999999</v>
      </c>
      <c r="AJ111" s="83">
        <v>1.048</v>
      </c>
      <c r="AK111" s="83">
        <v>1.0469999999999999</v>
      </c>
      <c r="AL111" s="83">
        <v>1.0469999999999999</v>
      </c>
      <c r="AM111" s="82">
        <v>0</v>
      </c>
      <c r="AN111" s="82">
        <v>0</v>
      </c>
      <c r="AO111" s="82">
        <v>0</v>
      </c>
      <c r="AP111" s="82">
        <v>0</v>
      </c>
      <c r="AQ111" s="82">
        <v>0</v>
      </c>
      <c r="AR111" s="82">
        <f>AD111*AG111*AH111*AI111*AJ111*AK111*AL111</f>
        <v>49023.679328633836</v>
      </c>
      <c r="AS111" s="79" t="s">
        <v>183</v>
      </c>
      <c r="AT111" s="79" t="s">
        <v>183</v>
      </c>
      <c r="AU111" s="79" t="s">
        <v>183</v>
      </c>
      <c r="AV111" s="79" t="s">
        <v>183</v>
      </c>
      <c r="AW111" s="79" t="s">
        <v>183</v>
      </c>
      <c r="AX111" s="79" t="s">
        <v>183</v>
      </c>
      <c r="AY111" s="79" t="s">
        <v>183</v>
      </c>
      <c r="AZ111" s="78">
        <f>AS9-O9</f>
        <v>0</v>
      </c>
    </row>
    <row r="112" spans="1:52" ht="75" customHeight="1" x14ac:dyDescent="0.25">
      <c r="A112" s="182">
        <v>27</v>
      </c>
      <c r="B112" s="139" t="s">
        <v>208</v>
      </c>
      <c r="C112" s="140">
        <v>35</v>
      </c>
      <c r="D112" s="77" t="s">
        <v>201</v>
      </c>
      <c r="E112" s="77" t="s">
        <v>33</v>
      </c>
      <c r="F112" s="77">
        <v>8</v>
      </c>
      <c r="G112" s="89" t="s">
        <v>202</v>
      </c>
      <c r="H112" s="79">
        <v>9040</v>
      </c>
      <c r="I112" s="79">
        <f t="shared" si="30"/>
        <v>72320</v>
      </c>
      <c r="J112" s="79" t="s">
        <v>59</v>
      </c>
      <c r="K112" s="30">
        <v>1.03</v>
      </c>
      <c r="L112" s="79">
        <f>I112*K112</f>
        <v>74489.600000000006</v>
      </c>
      <c r="M112" s="127">
        <f>L112+L113</f>
        <v>85625.600000000006</v>
      </c>
      <c r="N112" s="127">
        <f>M112*0.2</f>
        <v>17125.120000000003</v>
      </c>
      <c r="O112" s="127">
        <f>(M112+N112)</f>
        <v>102750.72</v>
      </c>
      <c r="P112" s="127">
        <f>O112*R112*S112</f>
        <v>112310.6469888</v>
      </c>
      <c r="Q112" s="127">
        <f>X112+Y112+Z112+AA112+AB112+AC112</f>
        <v>132020.33687166611</v>
      </c>
      <c r="R112" s="124">
        <v>1.0509999999999999</v>
      </c>
      <c r="S112" s="124">
        <v>1.04</v>
      </c>
      <c r="T112" s="124">
        <v>1.0409999999999999</v>
      </c>
      <c r="U112" s="124">
        <v>1.0409999999999999</v>
      </c>
      <c r="V112" s="124">
        <v>1.0409999999999999</v>
      </c>
      <c r="W112" s="124">
        <v>1.042</v>
      </c>
      <c r="X112" s="127">
        <v>0</v>
      </c>
      <c r="Y112" s="127">
        <v>0</v>
      </c>
      <c r="Z112" s="127">
        <v>0</v>
      </c>
      <c r="AA112" s="127">
        <v>0</v>
      </c>
      <c r="AB112" s="127">
        <v>0</v>
      </c>
      <c r="AC112" s="127">
        <f>P112*T112*U112*V112*W112</f>
        <v>132020.33687166611</v>
      </c>
      <c r="AD112" s="127">
        <f>O112</f>
        <v>102750.72</v>
      </c>
      <c r="AE112" s="127">
        <f>AD112*AG112*AH112*AI112</f>
        <v>123173.24637275138</v>
      </c>
      <c r="AF112" s="127">
        <f>AM112+AN112+AO112+AP112+AQ112+AR112</f>
        <v>141504.75505221271</v>
      </c>
      <c r="AG112" s="124">
        <v>1.0740000000000001</v>
      </c>
      <c r="AH112" s="124">
        <v>1.0620000000000001</v>
      </c>
      <c r="AI112" s="124">
        <v>1.0509999999999999</v>
      </c>
      <c r="AJ112" s="124">
        <v>1.048</v>
      </c>
      <c r="AK112" s="124">
        <v>1.0469999999999999</v>
      </c>
      <c r="AL112" s="124">
        <v>1.0469999999999999</v>
      </c>
      <c r="AM112" s="127">
        <v>0</v>
      </c>
      <c r="AN112" s="127">
        <v>0</v>
      </c>
      <c r="AO112" s="127">
        <v>0</v>
      </c>
      <c r="AP112" s="127">
        <v>0</v>
      </c>
      <c r="AQ112" s="127">
        <v>0</v>
      </c>
      <c r="AR112" s="127">
        <f>AD112*AG112*AH112*AI112*AJ112*AK112*AL112</f>
        <v>141504.75505221271</v>
      </c>
      <c r="AS112" s="79" t="s">
        <v>183</v>
      </c>
      <c r="AT112" s="79" t="s">
        <v>183</v>
      </c>
      <c r="AU112" s="79" t="s">
        <v>183</v>
      </c>
      <c r="AV112" s="79" t="s">
        <v>183</v>
      </c>
      <c r="AW112" s="79" t="s">
        <v>183</v>
      </c>
      <c r="AX112" s="79" t="s">
        <v>183</v>
      </c>
      <c r="AY112" s="79" t="s">
        <v>183</v>
      </c>
      <c r="AZ112" s="87">
        <f>AS9-O9</f>
        <v>0</v>
      </c>
    </row>
    <row r="113" spans="1:52" ht="75" customHeight="1" x14ac:dyDescent="0.25">
      <c r="A113" s="184"/>
      <c r="B113" s="139"/>
      <c r="C113" s="140"/>
      <c r="D113" s="77" t="s">
        <v>176</v>
      </c>
      <c r="E113" s="77" t="s">
        <v>33</v>
      </c>
      <c r="F113" s="77">
        <v>8</v>
      </c>
      <c r="G113" s="89" t="s">
        <v>74</v>
      </c>
      <c r="H113" s="79">
        <v>1392</v>
      </c>
      <c r="I113" s="79">
        <f t="shared" si="30"/>
        <v>11136</v>
      </c>
      <c r="J113" s="79" t="s">
        <v>36</v>
      </c>
      <c r="K113" s="30" t="s">
        <v>36</v>
      </c>
      <c r="L113" s="79">
        <f>I113</f>
        <v>11136</v>
      </c>
      <c r="M113" s="129"/>
      <c r="N113" s="129"/>
      <c r="O113" s="129"/>
      <c r="P113" s="129"/>
      <c r="Q113" s="129"/>
      <c r="R113" s="126"/>
      <c r="S113" s="126"/>
      <c r="T113" s="126"/>
      <c r="U113" s="126"/>
      <c r="V113" s="126"/>
      <c r="W113" s="126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6"/>
      <c r="AH113" s="126"/>
      <c r="AI113" s="126"/>
      <c r="AJ113" s="126"/>
      <c r="AK113" s="126"/>
      <c r="AL113" s="126"/>
      <c r="AM113" s="129"/>
      <c r="AN113" s="129"/>
      <c r="AO113" s="129"/>
      <c r="AP113" s="129"/>
      <c r="AQ113" s="129"/>
      <c r="AR113" s="129"/>
      <c r="AS113" s="79" t="s">
        <v>183</v>
      </c>
      <c r="AT113" s="79" t="s">
        <v>183</v>
      </c>
      <c r="AU113" s="79" t="s">
        <v>183</v>
      </c>
      <c r="AV113" s="79" t="s">
        <v>183</v>
      </c>
      <c r="AW113" s="79" t="s">
        <v>183</v>
      </c>
      <c r="AX113" s="79" t="s">
        <v>183</v>
      </c>
      <c r="AY113" s="79" t="s">
        <v>183</v>
      </c>
      <c r="AZ113" s="87">
        <f>AS9-O9</f>
        <v>0</v>
      </c>
    </row>
    <row r="114" spans="1:52" ht="75" customHeight="1" x14ac:dyDescent="0.25">
      <c r="A114" s="182">
        <v>28</v>
      </c>
      <c r="B114" s="139" t="s">
        <v>209</v>
      </c>
      <c r="C114" s="140">
        <v>6</v>
      </c>
      <c r="D114" s="77" t="s">
        <v>210</v>
      </c>
      <c r="E114" s="77" t="s">
        <v>33</v>
      </c>
      <c r="F114" s="77">
        <v>10</v>
      </c>
      <c r="G114" s="89" t="s">
        <v>211</v>
      </c>
      <c r="H114" s="79">
        <v>2486</v>
      </c>
      <c r="I114" s="79">
        <f t="shared" si="30"/>
        <v>24860</v>
      </c>
      <c r="J114" s="79" t="s">
        <v>59</v>
      </c>
      <c r="K114" s="30">
        <v>1.03</v>
      </c>
      <c r="L114" s="79">
        <f t="shared" ref="L114:L119" si="41">I114*K114</f>
        <v>25605.8</v>
      </c>
      <c r="M114" s="127">
        <f>L114</f>
        <v>25605.8</v>
      </c>
      <c r="N114" s="127">
        <f>M114*0.2</f>
        <v>5121.16</v>
      </c>
      <c r="O114" s="127">
        <f>M114+N114</f>
        <v>30726.959999999999</v>
      </c>
      <c r="P114" s="127">
        <f>O114*R114*S114</f>
        <v>33585.796358399995</v>
      </c>
      <c r="Q114" s="127">
        <f>X114+Y114+Z114+AA114+AB114+AC114</f>
        <v>39479.855812613372</v>
      </c>
      <c r="R114" s="124">
        <v>1.0509999999999999</v>
      </c>
      <c r="S114" s="124">
        <v>1.04</v>
      </c>
      <c r="T114" s="124">
        <v>1.0409999999999999</v>
      </c>
      <c r="U114" s="124">
        <v>1.0409999999999999</v>
      </c>
      <c r="V114" s="124">
        <v>1.0409999999999999</v>
      </c>
      <c r="W114" s="124">
        <v>1.042</v>
      </c>
      <c r="X114" s="127">
        <v>0</v>
      </c>
      <c r="Y114" s="127">
        <v>0</v>
      </c>
      <c r="Z114" s="127">
        <v>0</v>
      </c>
      <c r="AA114" s="127">
        <v>0</v>
      </c>
      <c r="AB114" s="127">
        <v>0</v>
      </c>
      <c r="AC114" s="127">
        <f>P114*T114*U114*V114*W114</f>
        <v>39479.855812613372</v>
      </c>
      <c r="AD114" s="127">
        <f>O114</f>
        <v>30726.959999999999</v>
      </c>
      <c r="AE114" s="127">
        <f>AD114*AG114*AH114*AI114</f>
        <v>36834.188746956483</v>
      </c>
      <c r="AF114" s="127">
        <f>AM114+AN114+AO114+AP114+AQ114+AR114</f>
        <v>42316.111734293809</v>
      </c>
      <c r="AG114" s="124">
        <v>1.0740000000000001</v>
      </c>
      <c r="AH114" s="124">
        <v>1.0620000000000001</v>
      </c>
      <c r="AI114" s="124">
        <v>1.0509999999999999</v>
      </c>
      <c r="AJ114" s="124">
        <v>1.048</v>
      </c>
      <c r="AK114" s="124">
        <v>1.0469999999999999</v>
      </c>
      <c r="AL114" s="124">
        <v>1.0469999999999999</v>
      </c>
      <c r="AM114" s="127">
        <v>0</v>
      </c>
      <c r="AN114" s="127">
        <v>0</v>
      </c>
      <c r="AO114" s="127">
        <v>0</v>
      </c>
      <c r="AP114" s="127">
        <v>0</v>
      </c>
      <c r="AQ114" s="127">
        <v>0</v>
      </c>
      <c r="AR114" s="127">
        <f>AD114*AG114*AH114*AI114*AJ114*AK114*AL114</f>
        <v>42316.111734293809</v>
      </c>
      <c r="AS114" s="79" t="s">
        <v>183</v>
      </c>
      <c r="AT114" s="79" t="s">
        <v>183</v>
      </c>
      <c r="AU114" s="79" t="s">
        <v>183</v>
      </c>
      <c r="AV114" s="79" t="s">
        <v>183</v>
      </c>
      <c r="AW114" s="79" t="s">
        <v>183</v>
      </c>
      <c r="AX114" s="79" t="s">
        <v>183</v>
      </c>
      <c r="AY114" s="79" t="s">
        <v>183</v>
      </c>
      <c r="AZ114" s="87">
        <f>AS9-O9</f>
        <v>0</v>
      </c>
    </row>
    <row r="115" spans="1:52" ht="75" customHeight="1" x14ac:dyDescent="0.25">
      <c r="A115" s="184"/>
      <c r="B115" s="139"/>
      <c r="C115" s="140"/>
      <c r="D115" s="77" t="s">
        <v>203</v>
      </c>
      <c r="E115" s="77" t="s">
        <v>33</v>
      </c>
      <c r="F115" s="77">
        <v>1</v>
      </c>
      <c r="G115" s="89" t="s">
        <v>204</v>
      </c>
      <c r="H115" s="79">
        <v>1996</v>
      </c>
      <c r="I115" s="79">
        <f t="shared" si="30"/>
        <v>1996</v>
      </c>
      <c r="J115" s="79" t="s">
        <v>100</v>
      </c>
      <c r="K115" s="30">
        <v>1.04</v>
      </c>
      <c r="L115" s="79">
        <f t="shared" si="41"/>
        <v>2075.84</v>
      </c>
      <c r="M115" s="129"/>
      <c r="N115" s="129"/>
      <c r="O115" s="129"/>
      <c r="P115" s="129"/>
      <c r="Q115" s="129"/>
      <c r="R115" s="126"/>
      <c r="S115" s="126"/>
      <c r="T115" s="126"/>
      <c r="U115" s="126"/>
      <c r="V115" s="126"/>
      <c r="W115" s="126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6"/>
      <c r="AH115" s="126"/>
      <c r="AI115" s="126"/>
      <c r="AJ115" s="126"/>
      <c r="AK115" s="126"/>
      <c r="AL115" s="126"/>
      <c r="AM115" s="129"/>
      <c r="AN115" s="129"/>
      <c r="AO115" s="129"/>
      <c r="AP115" s="129"/>
      <c r="AQ115" s="129"/>
      <c r="AR115" s="129"/>
      <c r="AS115" s="79" t="s">
        <v>183</v>
      </c>
      <c r="AT115" s="79" t="s">
        <v>183</v>
      </c>
      <c r="AU115" s="79" t="s">
        <v>183</v>
      </c>
      <c r="AV115" s="79" t="s">
        <v>183</v>
      </c>
      <c r="AW115" s="79" t="s">
        <v>183</v>
      </c>
      <c r="AX115" s="79" t="s">
        <v>183</v>
      </c>
      <c r="AY115" s="79" t="s">
        <v>183</v>
      </c>
      <c r="AZ115" s="87">
        <f>AS9-O9</f>
        <v>0</v>
      </c>
    </row>
    <row r="116" spans="1:52" ht="81" customHeight="1" x14ac:dyDescent="0.25">
      <c r="A116" s="138">
        <v>29</v>
      </c>
      <c r="B116" s="139" t="s">
        <v>215</v>
      </c>
      <c r="C116" s="140">
        <v>110</v>
      </c>
      <c r="D116" s="77" t="s">
        <v>127</v>
      </c>
      <c r="E116" s="47" t="s">
        <v>45</v>
      </c>
      <c r="F116" s="77">
        <v>370.65</v>
      </c>
      <c r="G116" s="29" t="s">
        <v>126</v>
      </c>
      <c r="H116" s="79">
        <v>101</v>
      </c>
      <c r="I116" s="79">
        <f>F116*H116</f>
        <v>37435.649999999994</v>
      </c>
      <c r="J116" s="47" t="s">
        <v>55</v>
      </c>
      <c r="K116" s="47">
        <v>1.05</v>
      </c>
      <c r="L116" s="79">
        <f t="shared" si="41"/>
        <v>39307.432499999995</v>
      </c>
      <c r="M116" s="116">
        <f>SUM(L116:L120)</f>
        <v>108042.1825</v>
      </c>
      <c r="N116" s="116">
        <f>M116*0.2</f>
        <v>21608.4365</v>
      </c>
      <c r="O116" s="116">
        <v>129650.61899999999</v>
      </c>
      <c r="P116" s="116">
        <v>141713.31259175998</v>
      </c>
      <c r="Q116" s="116">
        <v>166742.97539505214</v>
      </c>
      <c r="R116" s="101">
        <v>1.0509999999999999</v>
      </c>
      <c r="S116" s="101">
        <v>1.04</v>
      </c>
      <c r="T116" s="101">
        <v>1.042</v>
      </c>
      <c r="U116" s="101">
        <v>1.0409999999999999</v>
      </c>
      <c r="V116" s="101">
        <v>1.0409999999999999</v>
      </c>
      <c r="W116" s="101">
        <v>1.042</v>
      </c>
      <c r="X116" s="116">
        <v>0</v>
      </c>
      <c r="Y116" s="116">
        <v>0</v>
      </c>
      <c r="Z116" s="116">
        <v>0</v>
      </c>
      <c r="AA116" s="116">
        <v>0</v>
      </c>
      <c r="AB116" s="116">
        <v>0</v>
      </c>
      <c r="AC116" s="116">
        <v>166742.97539505214</v>
      </c>
      <c r="AD116" s="116">
        <f>O116</f>
        <v>129650.61899999999</v>
      </c>
      <c r="AE116" s="127">
        <f>AD116*AG116*AH116*AI116</f>
        <v>155419.71517539455</v>
      </c>
      <c r="AF116" s="127">
        <f>AM116+AN116+AO116+AP116+AQ116+AR116</f>
        <v>178550.37009923396</v>
      </c>
      <c r="AG116" s="101">
        <v>1.0740000000000001</v>
      </c>
      <c r="AH116" s="101">
        <v>1.0620000000000001</v>
      </c>
      <c r="AI116" s="101">
        <v>1.0509999999999999</v>
      </c>
      <c r="AJ116" s="101">
        <v>1.048</v>
      </c>
      <c r="AK116" s="101">
        <v>1.0469999999999999</v>
      </c>
      <c r="AL116" s="101">
        <v>1.0469999999999999</v>
      </c>
      <c r="AM116" s="127">
        <v>0</v>
      </c>
      <c r="AN116" s="127">
        <v>0</v>
      </c>
      <c r="AO116" s="127">
        <v>0</v>
      </c>
      <c r="AP116" s="127">
        <v>0</v>
      </c>
      <c r="AQ116" s="127">
        <v>0</v>
      </c>
      <c r="AR116" s="118">
        <f>AD116*AJ116*AK116*AL116*AG116*AH116*AI116</f>
        <v>178550.37009923396</v>
      </c>
      <c r="AS116" s="79" t="s">
        <v>183</v>
      </c>
      <c r="AT116" s="79" t="s">
        <v>183</v>
      </c>
      <c r="AU116" s="79" t="s">
        <v>183</v>
      </c>
      <c r="AV116" s="79" t="s">
        <v>183</v>
      </c>
      <c r="AW116" s="79" t="s">
        <v>183</v>
      </c>
      <c r="AX116" s="79" t="s">
        <v>183</v>
      </c>
      <c r="AY116" s="79" t="s">
        <v>183</v>
      </c>
      <c r="AZ116" s="67">
        <f>AS9-O9</f>
        <v>0</v>
      </c>
    </row>
    <row r="117" spans="1:52" ht="45" customHeight="1" x14ac:dyDescent="0.25">
      <c r="A117" s="138"/>
      <c r="B117" s="139"/>
      <c r="C117" s="140"/>
      <c r="D117" s="77" t="s">
        <v>128</v>
      </c>
      <c r="E117" s="77" t="s">
        <v>34</v>
      </c>
      <c r="F117" s="77">
        <v>12.5</v>
      </c>
      <c r="G117" s="29" t="s">
        <v>216</v>
      </c>
      <c r="H117" s="79">
        <v>716</v>
      </c>
      <c r="I117" s="79">
        <f t="shared" ref="I117" si="42">F117*H117</f>
        <v>8950</v>
      </c>
      <c r="J117" s="79" t="s">
        <v>55</v>
      </c>
      <c r="K117" s="30">
        <v>1.05</v>
      </c>
      <c r="L117" s="79">
        <f t="shared" si="41"/>
        <v>9397.5</v>
      </c>
      <c r="M117" s="116"/>
      <c r="N117" s="116"/>
      <c r="O117" s="116"/>
      <c r="P117" s="116"/>
      <c r="Q117" s="116"/>
      <c r="R117" s="111"/>
      <c r="S117" s="111"/>
      <c r="T117" s="111"/>
      <c r="U117" s="111"/>
      <c r="V117" s="111"/>
      <c r="W117" s="111"/>
      <c r="X117" s="116"/>
      <c r="Y117" s="116"/>
      <c r="Z117" s="116"/>
      <c r="AA117" s="116"/>
      <c r="AB117" s="116"/>
      <c r="AC117" s="116"/>
      <c r="AD117" s="116"/>
      <c r="AE117" s="128"/>
      <c r="AF117" s="128"/>
      <c r="AG117" s="111"/>
      <c r="AH117" s="111"/>
      <c r="AI117" s="111"/>
      <c r="AJ117" s="111"/>
      <c r="AK117" s="111"/>
      <c r="AL117" s="111"/>
      <c r="AM117" s="128"/>
      <c r="AN117" s="128"/>
      <c r="AO117" s="128"/>
      <c r="AP117" s="128"/>
      <c r="AQ117" s="128"/>
      <c r="AR117" s="119"/>
      <c r="AS117" s="79" t="s">
        <v>183</v>
      </c>
      <c r="AT117" s="79" t="s">
        <v>183</v>
      </c>
      <c r="AU117" s="79" t="s">
        <v>183</v>
      </c>
      <c r="AV117" s="79" t="s">
        <v>183</v>
      </c>
      <c r="AW117" s="79" t="s">
        <v>183</v>
      </c>
      <c r="AX117" s="79" t="s">
        <v>183</v>
      </c>
      <c r="AY117" s="79" t="s">
        <v>183</v>
      </c>
      <c r="AZ117" s="67">
        <f>AS9-O9</f>
        <v>0</v>
      </c>
    </row>
    <row r="118" spans="1:52" ht="80.25" customHeight="1" x14ac:dyDescent="0.25">
      <c r="A118" s="138"/>
      <c r="B118" s="139"/>
      <c r="C118" s="140"/>
      <c r="D118" s="77" t="s">
        <v>137</v>
      </c>
      <c r="E118" s="47" t="s">
        <v>34</v>
      </c>
      <c r="F118" s="77">
        <v>12.5</v>
      </c>
      <c r="G118" s="29" t="s">
        <v>138</v>
      </c>
      <c r="H118" s="79">
        <v>669</v>
      </c>
      <c r="I118" s="79">
        <f>F118*H118</f>
        <v>8362.5</v>
      </c>
      <c r="J118" s="47" t="s">
        <v>55</v>
      </c>
      <c r="K118" s="47">
        <v>1.05</v>
      </c>
      <c r="L118" s="79">
        <f t="shared" si="41"/>
        <v>8780.625</v>
      </c>
      <c r="M118" s="116"/>
      <c r="N118" s="116"/>
      <c r="O118" s="116"/>
      <c r="P118" s="116"/>
      <c r="Q118" s="116"/>
      <c r="R118" s="111"/>
      <c r="S118" s="111"/>
      <c r="T118" s="111"/>
      <c r="U118" s="111"/>
      <c r="V118" s="111"/>
      <c r="W118" s="111"/>
      <c r="X118" s="116"/>
      <c r="Y118" s="116"/>
      <c r="Z118" s="116"/>
      <c r="AA118" s="116"/>
      <c r="AB118" s="116"/>
      <c r="AC118" s="116"/>
      <c r="AD118" s="116"/>
      <c r="AE118" s="128"/>
      <c r="AF118" s="128"/>
      <c r="AG118" s="111"/>
      <c r="AH118" s="111"/>
      <c r="AI118" s="111"/>
      <c r="AJ118" s="111"/>
      <c r="AK118" s="111"/>
      <c r="AL118" s="111"/>
      <c r="AM118" s="128"/>
      <c r="AN118" s="128"/>
      <c r="AO118" s="128"/>
      <c r="AP118" s="128"/>
      <c r="AQ118" s="128"/>
      <c r="AR118" s="119"/>
      <c r="AS118" s="79" t="s">
        <v>183</v>
      </c>
      <c r="AT118" s="79" t="s">
        <v>183</v>
      </c>
      <c r="AU118" s="79" t="s">
        <v>183</v>
      </c>
      <c r="AV118" s="79" t="s">
        <v>183</v>
      </c>
      <c r="AW118" s="79" t="s">
        <v>183</v>
      </c>
      <c r="AX118" s="79" t="s">
        <v>183</v>
      </c>
      <c r="AY118" s="79" t="s">
        <v>183</v>
      </c>
      <c r="AZ118" s="67">
        <f>AS9-O9</f>
        <v>0</v>
      </c>
    </row>
    <row r="119" spans="1:52" ht="78.75" customHeight="1" x14ac:dyDescent="0.25">
      <c r="A119" s="138"/>
      <c r="B119" s="139"/>
      <c r="C119" s="140"/>
      <c r="D119" s="77" t="s">
        <v>217</v>
      </c>
      <c r="E119" s="47" t="s">
        <v>34</v>
      </c>
      <c r="F119" s="77">
        <v>12.5</v>
      </c>
      <c r="G119" s="29" t="s">
        <v>126</v>
      </c>
      <c r="H119" s="79">
        <v>2267</v>
      </c>
      <c r="I119" s="79">
        <f>F119*H119</f>
        <v>28337.5</v>
      </c>
      <c r="J119" s="47" t="s">
        <v>133</v>
      </c>
      <c r="K119" s="47">
        <v>1.59</v>
      </c>
      <c r="L119" s="79">
        <f t="shared" si="41"/>
        <v>45056.625</v>
      </c>
      <c r="M119" s="116"/>
      <c r="N119" s="116"/>
      <c r="O119" s="116"/>
      <c r="P119" s="116"/>
      <c r="Q119" s="116"/>
      <c r="R119" s="111"/>
      <c r="S119" s="111"/>
      <c r="T119" s="111"/>
      <c r="U119" s="111"/>
      <c r="V119" s="111"/>
      <c r="W119" s="111"/>
      <c r="X119" s="116"/>
      <c r="Y119" s="116"/>
      <c r="Z119" s="116"/>
      <c r="AA119" s="116"/>
      <c r="AB119" s="116"/>
      <c r="AC119" s="116"/>
      <c r="AD119" s="116"/>
      <c r="AE119" s="128"/>
      <c r="AF119" s="128"/>
      <c r="AG119" s="111"/>
      <c r="AH119" s="111"/>
      <c r="AI119" s="111"/>
      <c r="AJ119" s="111"/>
      <c r="AK119" s="111"/>
      <c r="AL119" s="111"/>
      <c r="AM119" s="128"/>
      <c r="AN119" s="128"/>
      <c r="AO119" s="128"/>
      <c r="AP119" s="128"/>
      <c r="AQ119" s="128"/>
      <c r="AR119" s="119"/>
      <c r="AS119" s="79" t="s">
        <v>183</v>
      </c>
      <c r="AT119" s="79" t="s">
        <v>183</v>
      </c>
      <c r="AU119" s="79" t="s">
        <v>183</v>
      </c>
      <c r="AV119" s="79" t="s">
        <v>183</v>
      </c>
      <c r="AW119" s="79" t="s">
        <v>183</v>
      </c>
      <c r="AX119" s="79" t="s">
        <v>183</v>
      </c>
      <c r="AY119" s="79" t="s">
        <v>183</v>
      </c>
      <c r="AZ119" s="67">
        <f>AS9-O9</f>
        <v>0</v>
      </c>
    </row>
    <row r="120" spans="1:52" ht="45.75" customHeight="1" x14ac:dyDescent="0.25">
      <c r="A120" s="138"/>
      <c r="B120" s="139"/>
      <c r="C120" s="140"/>
      <c r="D120" s="77" t="s">
        <v>140</v>
      </c>
      <c r="E120" s="47" t="s">
        <v>218</v>
      </c>
      <c r="F120" s="77">
        <v>1</v>
      </c>
      <c r="G120" s="29" t="s">
        <v>219</v>
      </c>
      <c r="H120" s="79">
        <v>5500</v>
      </c>
      <c r="I120" s="79">
        <f>H120</f>
        <v>5500</v>
      </c>
      <c r="J120" s="47" t="s">
        <v>36</v>
      </c>
      <c r="K120" s="47" t="s">
        <v>36</v>
      </c>
      <c r="L120" s="79">
        <f>H120</f>
        <v>5500</v>
      </c>
      <c r="M120" s="116"/>
      <c r="N120" s="116"/>
      <c r="O120" s="116"/>
      <c r="P120" s="116"/>
      <c r="Q120" s="116"/>
      <c r="R120" s="102"/>
      <c r="S120" s="102"/>
      <c r="T120" s="102"/>
      <c r="U120" s="102"/>
      <c r="V120" s="102"/>
      <c r="W120" s="102"/>
      <c r="X120" s="116"/>
      <c r="Y120" s="116"/>
      <c r="Z120" s="116"/>
      <c r="AA120" s="116"/>
      <c r="AB120" s="116"/>
      <c r="AC120" s="116"/>
      <c r="AD120" s="116"/>
      <c r="AE120" s="129"/>
      <c r="AF120" s="129"/>
      <c r="AG120" s="102"/>
      <c r="AH120" s="102"/>
      <c r="AI120" s="102"/>
      <c r="AJ120" s="102"/>
      <c r="AK120" s="102"/>
      <c r="AL120" s="102"/>
      <c r="AM120" s="129"/>
      <c r="AN120" s="129"/>
      <c r="AO120" s="129"/>
      <c r="AP120" s="129"/>
      <c r="AQ120" s="129"/>
      <c r="AR120" s="120"/>
      <c r="AS120" s="79" t="s">
        <v>183</v>
      </c>
      <c r="AT120" s="79" t="s">
        <v>183</v>
      </c>
      <c r="AU120" s="79" t="s">
        <v>183</v>
      </c>
      <c r="AV120" s="79" t="s">
        <v>183</v>
      </c>
      <c r="AW120" s="79" t="s">
        <v>183</v>
      </c>
      <c r="AX120" s="79" t="s">
        <v>183</v>
      </c>
      <c r="AY120" s="79" t="s">
        <v>183</v>
      </c>
      <c r="AZ120" s="67">
        <f>AS9-O9</f>
        <v>0</v>
      </c>
    </row>
    <row r="121" spans="1:52" ht="82.5" customHeight="1" x14ac:dyDescent="0.25">
      <c r="A121" s="121">
        <v>30</v>
      </c>
      <c r="B121" s="122" t="s">
        <v>220</v>
      </c>
      <c r="C121" s="123" t="s">
        <v>221</v>
      </c>
      <c r="D121" s="47" t="s">
        <v>222</v>
      </c>
      <c r="E121" s="47" t="s">
        <v>37</v>
      </c>
      <c r="F121" s="47">
        <v>2</v>
      </c>
      <c r="G121" s="46" t="s">
        <v>223</v>
      </c>
      <c r="H121" s="53">
        <v>40670</v>
      </c>
      <c r="I121" s="79">
        <f t="shared" ref="I121:I122" si="43">F121*H121</f>
        <v>81340</v>
      </c>
      <c r="J121" s="47" t="s">
        <v>67</v>
      </c>
      <c r="K121" s="47">
        <v>1.04</v>
      </c>
      <c r="L121" s="79">
        <f t="shared" ref="L121" si="44">I121*K121</f>
        <v>84593.600000000006</v>
      </c>
      <c r="M121" s="116">
        <f>SUM(L121:L125)</f>
        <v>283784.62</v>
      </c>
      <c r="N121" s="116">
        <f>M121*0.2</f>
        <v>56756.923999999999</v>
      </c>
      <c r="O121" s="116">
        <v>340541.54399999999</v>
      </c>
      <c r="P121" s="116">
        <v>372225.52925376</v>
      </c>
      <c r="Q121" s="116">
        <v>420315.43058546807</v>
      </c>
      <c r="R121" s="124">
        <v>1.0509999999999999</v>
      </c>
      <c r="S121" s="124">
        <v>1.04</v>
      </c>
      <c r="T121" s="124">
        <v>1.042</v>
      </c>
      <c r="U121" s="124">
        <v>1.0409999999999999</v>
      </c>
      <c r="V121" s="124">
        <v>1.0409999999999999</v>
      </c>
      <c r="W121" s="124">
        <v>1.042</v>
      </c>
      <c r="X121" s="127">
        <v>0</v>
      </c>
      <c r="Y121" s="116">
        <v>0</v>
      </c>
      <c r="Z121" s="116">
        <v>0</v>
      </c>
      <c r="AA121" s="116">
        <v>0</v>
      </c>
      <c r="AB121" s="116">
        <v>420315.43058546807</v>
      </c>
      <c r="AC121" s="116">
        <v>0</v>
      </c>
      <c r="AD121" s="116">
        <f>(L121+L122+L123+L124+L125)*1.2</f>
        <v>340541.54399999999</v>
      </c>
      <c r="AE121" s="116">
        <f>AD121*AG121*AH121*AI121</f>
        <v>394065.74639859941</v>
      </c>
      <c r="AF121" s="116">
        <f>AM121+AN121+AO121+AP121+AQ121+AR121</f>
        <v>428273.01758047618</v>
      </c>
      <c r="AG121" s="101">
        <v>1.0740000000000001</v>
      </c>
      <c r="AH121" s="101">
        <v>1.0369999999999999</v>
      </c>
      <c r="AI121" s="101">
        <v>1.0389999999999999</v>
      </c>
      <c r="AJ121" s="101">
        <v>1.042</v>
      </c>
      <c r="AK121" s="101">
        <v>1.0429999999999999</v>
      </c>
      <c r="AL121" s="101">
        <v>1.0429999999999999</v>
      </c>
      <c r="AM121" s="116">
        <v>0</v>
      </c>
      <c r="AN121" s="116">
        <v>0</v>
      </c>
      <c r="AO121" s="116">
        <v>0</v>
      </c>
      <c r="AP121" s="116">
        <v>0</v>
      </c>
      <c r="AQ121" s="116">
        <f>AD121*AI121*AJ121*AK121*AH121*AG121</f>
        <v>428273.01758047618</v>
      </c>
      <c r="AR121" s="116">
        <v>0</v>
      </c>
      <c r="AS121" s="79" t="s">
        <v>183</v>
      </c>
      <c r="AT121" s="79" t="s">
        <v>183</v>
      </c>
      <c r="AU121" s="79" t="s">
        <v>183</v>
      </c>
      <c r="AV121" s="79" t="s">
        <v>183</v>
      </c>
      <c r="AW121" s="79" t="s">
        <v>183</v>
      </c>
      <c r="AX121" s="79" t="s">
        <v>183</v>
      </c>
      <c r="AY121" s="79" t="s">
        <v>183</v>
      </c>
      <c r="AZ121" s="117">
        <f>AS9-O9</f>
        <v>0</v>
      </c>
    </row>
    <row r="122" spans="1:52" ht="30" x14ac:dyDescent="0.25">
      <c r="A122" s="121"/>
      <c r="B122" s="122"/>
      <c r="C122" s="123"/>
      <c r="D122" s="47" t="s">
        <v>160</v>
      </c>
      <c r="E122" s="47" t="s">
        <v>41</v>
      </c>
      <c r="F122" s="47">
        <v>1</v>
      </c>
      <c r="G122" s="29" t="s">
        <v>98</v>
      </c>
      <c r="H122" s="47">
        <v>29099</v>
      </c>
      <c r="I122" s="79">
        <f t="shared" si="43"/>
        <v>29099</v>
      </c>
      <c r="J122" s="47" t="s">
        <v>36</v>
      </c>
      <c r="K122" s="47" t="s">
        <v>36</v>
      </c>
      <c r="L122" s="79">
        <f>I122</f>
        <v>29099</v>
      </c>
      <c r="M122" s="116"/>
      <c r="N122" s="116"/>
      <c r="O122" s="116"/>
      <c r="P122" s="116"/>
      <c r="Q122" s="116"/>
      <c r="R122" s="125"/>
      <c r="S122" s="125"/>
      <c r="T122" s="125"/>
      <c r="U122" s="125"/>
      <c r="V122" s="125"/>
      <c r="W122" s="125"/>
      <c r="X122" s="128"/>
      <c r="Y122" s="116"/>
      <c r="Z122" s="116"/>
      <c r="AA122" s="116"/>
      <c r="AB122" s="116"/>
      <c r="AC122" s="116"/>
      <c r="AD122" s="116"/>
      <c r="AE122" s="116"/>
      <c r="AF122" s="116"/>
      <c r="AG122" s="111"/>
      <c r="AH122" s="111"/>
      <c r="AI122" s="111"/>
      <c r="AJ122" s="111"/>
      <c r="AK122" s="111"/>
      <c r="AL122" s="111"/>
      <c r="AM122" s="116"/>
      <c r="AN122" s="116"/>
      <c r="AO122" s="116"/>
      <c r="AP122" s="116"/>
      <c r="AQ122" s="116"/>
      <c r="AR122" s="116"/>
      <c r="AS122" s="79" t="s">
        <v>183</v>
      </c>
      <c r="AT122" s="79" t="s">
        <v>183</v>
      </c>
      <c r="AU122" s="79" t="s">
        <v>183</v>
      </c>
      <c r="AV122" s="79" t="s">
        <v>183</v>
      </c>
      <c r="AW122" s="79" t="s">
        <v>183</v>
      </c>
      <c r="AX122" s="79" t="s">
        <v>183</v>
      </c>
      <c r="AY122" s="79" t="s">
        <v>183</v>
      </c>
      <c r="AZ122" s="117"/>
    </row>
    <row r="123" spans="1:52" ht="67.5" customHeight="1" x14ac:dyDescent="0.25">
      <c r="A123" s="121"/>
      <c r="B123" s="122"/>
      <c r="C123" s="123"/>
      <c r="D123" s="47" t="s">
        <v>224</v>
      </c>
      <c r="E123" s="47" t="s">
        <v>37</v>
      </c>
      <c r="F123" s="47">
        <v>2</v>
      </c>
      <c r="G123" s="46" t="s">
        <v>225</v>
      </c>
      <c r="H123" s="47">
        <v>51394</v>
      </c>
      <c r="I123" s="79">
        <f>H123*F123</f>
        <v>102788</v>
      </c>
      <c r="J123" s="47" t="s">
        <v>92</v>
      </c>
      <c r="K123" s="47">
        <v>1.05</v>
      </c>
      <c r="L123" s="79">
        <f t="shared" ref="L123:L129" si="45">I123*K123</f>
        <v>107927.40000000001</v>
      </c>
      <c r="M123" s="116"/>
      <c r="N123" s="116"/>
      <c r="O123" s="116"/>
      <c r="P123" s="116"/>
      <c r="Q123" s="116"/>
      <c r="R123" s="125"/>
      <c r="S123" s="125"/>
      <c r="T123" s="125"/>
      <c r="U123" s="125"/>
      <c r="V123" s="125"/>
      <c r="W123" s="125"/>
      <c r="X123" s="128"/>
      <c r="Y123" s="116"/>
      <c r="Z123" s="116"/>
      <c r="AA123" s="116"/>
      <c r="AB123" s="116"/>
      <c r="AC123" s="116"/>
      <c r="AD123" s="116"/>
      <c r="AE123" s="116"/>
      <c r="AF123" s="116"/>
      <c r="AG123" s="111"/>
      <c r="AH123" s="111"/>
      <c r="AI123" s="111"/>
      <c r="AJ123" s="111"/>
      <c r="AK123" s="111"/>
      <c r="AL123" s="111"/>
      <c r="AM123" s="116"/>
      <c r="AN123" s="116"/>
      <c r="AO123" s="116"/>
      <c r="AP123" s="116"/>
      <c r="AQ123" s="116"/>
      <c r="AR123" s="116"/>
      <c r="AS123" s="79" t="s">
        <v>183</v>
      </c>
      <c r="AT123" s="79" t="s">
        <v>183</v>
      </c>
      <c r="AU123" s="79" t="s">
        <v>183</v>
      </c>
      <c r="AV123" s="79" t="s">
        <v>183</v>
      </c>
      <c r="AW123" s="79" t="s">
        <v>183</v>
      </c>
      <c r="AX123" s="79" t="s">
        <v>183</v>
      </c>
      <c r="AY123" s="79" t="s">
        <v>183</v>
      </c>
      <c r="AZ123" s="117"/>
    </row>
    <row r="124" spans="1:52" ht="63" customHeight="1" x14ac:dyDescent="0.25">
      <c r="A124" s="121"/>
      <c r="B124" s="122"/>
      <c r="C124" s="123"/>
      <c r="D124" s="47" t="s">
        <v>87</v>
      </c>
      <c r="E124" s="47" t="s">
        <v>37</v>
      </c>
      <c r="F124" s="47">
        <v>9</v>
      </c>
      <c r="G124" s="46" t="s">
        <v>226</v>
      </c>
      <c r="H124" s="47">
        <v>5518</v>
      </c>
      <c r="I124" s="79">
        <f t="shared" ref="I124:I137" si="46">F124*H124</f>
        <v>49662</v>
      </c>
      <c r="J124" s="47" t="s">
        <v>59</v>
      </c>
      <c r="K124" s="47">
        <v>1.03</v>
      </c>
      <c r="L124" s="79">
        <f t="shared" si="45"/>
        <v>51151.86</v>
      </c>
      <c r="M124" s="116"/>
      <c r="N124" s="116"/>
      <c r="O124" s="116"/>
      <c r="P124" s="116"/>
      <c r="Q124" s="116"/>
      <c r="R124" s="125"/>
      <c r="S124" s="125"/>
      <c r="T124" s="125"/>
      <c r="U124" s="125"/>
      <c r="V124" s="125"/>
      <c r="W124" s="125"/>
      <c r="X124" s="128"/>
      <c r="Y124" s="116"/>
      <c r="Z124" s="116"/>
      <c r="AA124" s="116"/>
      <c r="AB124" s="116"/>
      <c r="AC124" s="116"/>
      <c r="AD124" s="116"/>
      <c r="AE124" s="116"/>
      <c r="AF124" s="116"/>
      <c r="AG124" s="111"/>
      <c r="AH124" s="111"/>
      <c r="AI124" s="111"/>
      <c r="AJ124" s="111"/>
      <c r="AK124" s="111"/>
      <c r="AL124" s="111"/>
      <c r="AM124" s="116"/>
      <c r="AN124" s="116"/>
      <c r="AO124" s="116"/>
      <c r="AP124" s="116"/>
      <c r="AQ124" s="116"/>
      <c r="AR124" s="116"/>
      <c r="AS124" s="79" t="s">
        <v>183</v>
      </c>
      <c r="AT124" s="79" t="s">
        <v>183</v>
      </c>
      <c r="AU124" s="79" t="s">
        <v>183</v>
      </c>
      <c r="AV124" s="79" t="s">
        <v>183</v>
      </c>
      <c r="AW124" s="79" t="s">
        <v>183</v>
      </c>
      <c r="AX124" s="79" t="s">
        <v>183</v>
      </c>
      <c r="AY124" s="79" t="s">
        <v>183</v>
      </c>
      <c r="AZ124" s="117"/>
    </row>
    <row r="125" spans="1:52" ht="65.25" customHeight="1" x14ac:dyDescent="0.25">
      <c r="A125" s="121"/>
      <c r="B125" s="122"/>
      <c r="C125" s="123"/>
      <c r="D125" s="47" t="s">
        <v>163</v>
      </c>
      <c r="E125" s="47" t="s">
        <v>37</v>
      </c>
      <c r="F125" s="47">
        <v>9</v>
      </c>
      <c r="G125" s="46" t="s">
        <v>227</v>
      </c>
      <c r="H125" s="47">
        <v>1188</v>
      </c>
      <c r="I125" s="79">
        <f t="shared" si="46"/>
        <v>10692</v>
      </c>
      <c r="J125" s="47" t="s">
        <v>59</v>
      </c>
      <c r="K125" s="47">
        <v>1.03</v>
      </c>
      <c r="L125" s="79">
        <f t="shared" si="45"/>
        <v>11012.76</v>
      </c>
      <c r="M125" s="116"/>
      <c r="N125" s="116"/>
      <c r="O125" s="116"/>
      <c r="P125" s="116"/>
      <c r="Q125" s="116"/>
      <c r="R125" s="126"/>
      <c r="S125" s="126"/>
      <c r="T125" s="126"/>
      <c r="U125" s="126"/>
      <c r="V125" s="126"/>
      <c r="W125" s="126"/>
      <c r="X125" s="129"/>
      <c r="Y125" s="116"/>
      <c r="Z125" s="116"/>
      <c r="AA125" s="116"/>
      <c r="AB125" s="116"/>
      <c r="AC125" s="116"/>
      <c r="AD125" s="116"/>
      <c r="AE125" s="116"/>
      <c r="AF125" s="116"/>
      <c r="AG125" s="102"/>
      <c r="AH125" s="102"/>
      <c r="AI125" s="102"/>
      <c r="AJ125" s="102"/>
      <c r="AK125" s="102"/>
      <c r="AL125" s="102"/>
      <c r="AM125" s="116"/>
      <c r="AN125" s="116"/>
      <c r="AO125" s="116"/>
      <c r="AP125" s="116"/>
      <c r="AQ125" s="116"/>
      <c r="AR125" s="116"/>
      <c r="AS125" s="79" t="s">
        <v>183</v>
      </c>
      <c r="AT125" s="79" t="s">
        <v>183</v>
      </c>
      <c r="AU125" s="79" t="s">
        <v>183</v>
      </c>
      <c r="AV125" s="79" t="s">
        <v>183</v>
      </c>
      <c r="AW125" s="79" t="s">
        <v>183</v>
      </c>
      <c r="AX125" s="79" t="s">
        <v>183</v>
      </c>
      <c r="AY125" s="79" t="s">
        <v>183</v>
      </c>
      <c r="AZ125" s="117"/>
    </row>
    <row r="126" spans="1:52" ht="65.25" customHeight="1" x14ac:dyDescent="0.25">
      <c r="A126" s="138">
        <v>31</v>
      </c>
      <c r="B126" s="174" t="s">
        <v>246</v>
      </c>
      <c r="C126" s="103">
        <v>6</v>
      </c>
      <c r="D126" s="77" t="s">
        <v>38</v>
      </c>
      <c r="E126" s="77" t="s">
        <v>37</v>
      </c>
      <c r="F126" s="77">
        <v>0</v>
      </c>
      <c r="G126" s="89" t="s">
        <v>39</v>
      </c>
      <c r="H126" s="79">
        <v>1663</v>
      </c>
      <c r="I126" s="79">
        <f t="shared" si="46"/>
        <v>0</v>
      </c>
      <c r="J126" s="79" t="s">
        <v>54</v>
      </c>
      <c r="K126" s="30">
        <v>1.1000000000000001</v>
      </c>
      <c r="L126" s="79">
        <f t="shared" si="45"/>
        <v>0</v>
      </c>
      <c r="M126" s="127" t="s">
        <v>183</v>
      </c>
      <c r="N126" s="127" t="s">
        <v>183</v>
      </c>
      <c r="O126" s="127" t="s">
        <v>183</v>
      </c>
      <c r="P126" s="127" t="s">
        <v>183</v>
      </c>
      <c r="Q126" s="127" t="s">
        <v>183</v>
      </c>
      <c r="R126" s="127" t="s">
        <v>183</v>
      </c>
      <c r="S126" s="127" t="s">
        <v>183</v>
      </c>
      <c r="T126" s="127" t="s">
        <v>183</v>
      </c>
      <c r="U126" s="127" t="s">
        <v>183</v>
      </c>
      <c r="V126" s="127" t="s">
        <v>183</v>
      </c>
      <c r="W126" s="127" t="s">
        <v>183</v>
      </c>
      <c r="X126" s="127" t="s">
        <v>183</v>
      </c>
      <c r="Y126" s="127" t="s">
        <v>183</v>
      </c>
      <c r="Z126" s="127" t="s">
        <v>183</v>
      </c>
      <c r="AA126" s="127" t="s">
        <v>183</v>
      </c>
      <c r="AB126" s="127" t="s">
        <v>183</v>
      </c>
      <c r="AC126" s="127" t="s">
        <v>183</v>
      </c>
      <c r="AD126" s="127">
        <f>SUM(L126:L131)*1.2</f>
        <v>1427.20992</v>
      </c>
      <c r="AE126" s="127">
        <f>AD126*AG126*AH126</f>
        <v>1589.5379218809601</v>
      </c>
      <c r="AF126" s="127">
        <f>AM126+AN126+AO126+AP126+AQ126+AR126</f>
        <v>1589.5379218809601</v>
      </c>
      <c r="AG126" s="124">
        <v>1.0740000000000001</v>
      </c>
      <c r="AH126" s="124">
        <v>1.0369999999999999</v>
      </c>
      <c r="AI126" s="178">
        <v>1.0389999999999999</v>
      </c>
      <c r="AJ126" s="178">
        <v>1.042</v>
      </c>
      <c r="AK126" s="178">
        <v>1.0429999999999999</v>
      </c>
      <c r="AL126" s="178">
        <v>1.0429999999999999</v>
      </c>
      <c r="AM126" s="178">
        <v>0</v>
      </c>
      <c r="AN126" s="116">
        <f>AD126*AG126*AH126</f>
        <v>1589.5379218809601</v>
      </c>
      <c r="AO126" s="178">
        <v>0</v>
      </c>
      <c r="AP126" s="178">
        <v>0</v>
      </c>
      <c r="AQ126" s="178">
        <v>0</v>
      </c>
      <c r="AR126" s="178">
        <v>0</v>
      </c>
      <c r="AS126" s="178">
        <f>SUM(L126:L131)*1.2</f>
        <v>1427.20992</v>
      </c>
      <c r="AT126" s="116">
        <v>1907.4455062571519</v>
      </c>
      <c r="AU126" s="178">
        <v>1.0740000000000001</v>
      </c>
      <c r="AV126" s="178">
        <v>1.0369999999999999</v>
      </c>
      <c r="AW126" s="116">
        <v>0</v>
      </c>
      <c r="AX126" s="116">
        <v>1907.4455062571519</v>
      </c>
      <c r="AY126" s="116">
        <v>0</v>
      </c>
      <c r="AZ126" s="164">
        <f>AS9-O9</f>
        <v>0</v>
      </c>
    </row>
    <row r="127" spans="1:52" ht="30" customHeight="1" x14ac:dyDescent="0.25">
      <c r="A127" s="138"/>
      <c r="B127" s="162"/>
      <c r="C127" s="112"/>
      <c r="D127" s="77" t="s">
        <v>42</v>
      </c>
      <c r="E127" s="77" t="s">
        <v>34</v>
      </c>
      <c r="F127" s="77">
        <v>0.29199999999999998</v>
      </c>
      <c r="G127" s="29" t="s">
        <v>43</v>
      </c>
      <c r="H127" s="79">
        <v>699</v>
      </c>
      <c r="I127" s="79">
        <f t="shared" si="46"/>
        <v>204.10799999999998</v>
      </c>
      <c r="J127" s="79" t="s">
        <v>55</v>
      </c>
      <c r="K127" s="30">
        <v>1.05</v>
      </c>
      <c r="L127" s="79">
        <f t="shared" si="45"/>
        <v>214.31339999999997</v>
      </c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5"/>
      <c r="AH127" s="125"/>
      <c r="AI127" s="178"/>
      <c r="AJ127" s="178"/>
      <c r="AK127" s="178"/>
      <c r="AL127" s="178"/>
      <c r="AM127" s="178"/>
      <c r="AN127" s="116"/>
      <c r="AO127" s="178"/>
      <c r="AP127" s="178"/>
      <c r="AQ127" s="178"/>
      <c r="AR127" s="178"/>
      <c r="AS127" s="178"/>
      <c r="AT127" s="116"/>
      <c r="AU127" s="178"/>
      <c r="AV127" s="178"/>
      <c r="AW127" s="116"/>
      <c r="AX127" s="116"/>
      <c r="AY127" s="116"/>
      <c r="AZ127" s="164"/>
    </row>
    <row r="128" spans="1:52" ht="60" x14ac:dyDescent="0.25">
      <c r="A128" s="138"/>
      <c r="B128" s="162"/>
      <c r="C128" s="112"/>
      <c r="D128" s="77" t="s">
        <v>44</v>
      </c>
      <c r="E128" s="77" t="s">
        <v>45</v>
      </c>
      <c r="F128" s="77">
        <v>10.17</v>
      </c>
      <c r="G128" s="29" t="s">
        <v>46</v>
      </c>
      <c r="H128" s="79">
        <v>17</v>
      </c>
      <c r="I128" s="79">
        <f t="shared" si="46"/>
        <v>172.89</v>
      </c>
      <c r="J128" s="79" t="s">
        <v>55</v>
      </c>
      <c r="K128" s="30">
        <v>1.05</v>
      </c>
      <c r="L128" s="79">
        <f t="shared" si="45"/>
        <v>181.53449999999998</v>
      </c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5"/>
      <c r="AH128" s="125"/>
      <c r="AI128" s="178"/>
      <c r="AJ128" s="178"/>
      <c r="AK128" s="178"/>
      <c r="AL128" s="178"/>
      <c r="AM128" s="178"/>
      <c r="AN128" s="116"/>
      <c r="AO128" s="178"/>
      <c r="AP128" s="178"/>
      <c r="AQ128" s="178"/>
      <c r="AR128" s="178"/>
      <c r="AS128" s="178"/>
      <c r="AT128" s="116"/>
      <c r="AU128" s="178"/>
      <c r="AV128" s="178"/>
      <c r="AW128" s="116"/>
      <c r="AX128" s="116"/>
      <c r="AY128" s="116"/>
      <c r="AZ128" s="164"/>
    </row>
    <row r="129" spans="1:52" ht="75" x14ac:dyDescent="0.25">
      <c r="A129" s="138"/>
      <c r="B129" s="162"/>
      <c r="C129" s="112"/>
      <c r="D129" s="77" t="s">
        <v>57</v>
      </c>
      <c r="E129" s="77" t="s">
        <v>34</v>
      </c>
      <c r="F129" s="77">
        <v>1.1379999999999999</v>
      </c>
      <c r="G129" s="29" t="s">
        <v>58</v>
      </c>
      <c r="H129" s="79">
        <v>413</v>
      </c>
      <c r="I129" s="79">
        <f t="shared" si="46"/>
        <v>469.99399999999997</v>
      </c>
      <c r="J129" s="79" t="s">
        <v>55</v>
      </c>
      <c r="K129" s="30">
        <v>1.05</v>
      </c>
      <c r="L129" s="79">
        <f t="shared" si="45"/>
        <v>493.49369999999999</v>
      </c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5"/>
      <c r="AH129" s="125"/>
      <c r="AI129" s="178"/>
      <c r="AJ129" s="178"/>
      <c r="AK129" s="178"/>
      <c r="AL129" s="178"/>
      <c r="AM129" s="178"/>
      <c r="AN129" s="116"/>
      <c r="AO129" s="178"/>
      <c r="AP129" s="178"/>
      <c r="AQ129" s="178"/>
      <c r="AR129" s="178"/>
      <c r="AS129" s="178"/>
      <c r="AT129" s="116"/>
      <c r="AU129" s="178"/>
      <c r="AV129" s="178"/>
      <c r="AW129" s="116"/>
      <c r="AX129" s="116"/>
      <c r="AY129" s="116"/>
      <c r="AZ129" s="164"/>
    </row>
    <row r="130" spans="1:52" ht="75" x14ac:dyDescent="0.25">
      <c r="A130" s="138"/>
      <c r="B130" s="162"/>
      <c r="C130" s="112"/>
      <c r="D130" s="77" t="s">
        <v>48</v>
      </c>
      <c r="E130" s="77" t="s">
        <v>49</v>
      </c>
      <c r="F130" s="77">
        <v>0</v>
      </c>
      <c r="G130" s="29" t="s">
        <v>51</v>
      </c>
      <c r="H130" s="79">
        <v>187</v>
      </c>
      <c r="I130" s="79">
        <f t="shared" si="46"/>
        <v>0</v>
      </c>
      <c r="J130" s="79" t="s">
        <v>36</v>
      </c>
      <c r="K130" s="30" t="s">
        <v>36</v>
      </c>
      <c r="L130" s="79">
        <f>I130</f>
        <v>0</v>
      </c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5"/>
      <c r="AH130" s="125"/>
      <c r="AI130" s="178"/>
      <c r="AJ130" s="178"/>
      <c r="AK130" s="178"/>
      <c r="AL130" s="178"/>
      <c r="AM130" s="178"/>
      <c r="AN130" s="116"/>
      <c r="AO130" s="178"/>
      <c r="AP130" s="178"/>
      <c r="AQ130" s="178"/>
      <c r="AR130" s="178"/>
      <c r="AS130" s="178"/>
      <c r="AT130" s="116"/>
      <c r="AU130" s="178"/>
      <c r="AV130" s="178"/>
      <c r="AW130" s="116"/>
      <c r="AX130" s="116"/>
      <c r="AY130" s="116"/>
      <c r="AZ130" s="164"/>
    </row>
    <row r="131" spans="1:52" ht="30" x14ac:dyDescent="0.25">
      <c r="A131" s="138"/>
      <c r="B131" s="163"/>
      <c r="C131" s="112"/>
      <c r="D131" s="77" t="s">
        <v>40</v>
      </c>
      <c r="E131" s="77" t="s">
        <v>41</v>
      </c>
      <c r="F131" s="77">
        <v>1</v>
      </c>
      <c r="G131" s="29" t="s">
        <v>245</v>
      </c>
      <c r="H131" s="79">
        <v>300</v>
      </c>
      <c r="I131" s="79">
        <f t="shared" si="46"/>
        <v>300</v>
      </c>
      <c r="J131" s="79" t="s">
        <v>36</v>
      </c>
      <c r="K131" s="79" t="s">
        <v>36</v>
      </c>
      <c r="L131" s="79">
        <f>I131</f>
        <v>300</v>
      </c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9"/>
      <c r="AB131" s="129"/>
      <c r="AC131" s="129"/>
      <c r="AD131" s="129"/>
      <c r="AE131" s="129"/>
      <c r="AF131" s="129"/>
      <c r="AG131" s="126"/>
      <c r="AH131" s="126"/>
      <c r="AI131" s="178"/>
      <c r="AJ131" s="178"/>
      <c r="AK131" s="178"/>
      <c r="AL131" s="178"/>
      <c r="AM131" s="178"/>
      <c r="AN131" s="116"/>
      <c r="AO131" s="178"/>
      <c r="AP131" s="178"/>
      <c r="AQ131" s="178"/>
      <c r="AR131" s="178"/>
      <c r="AS131" s="178"/>
      <c r="AT131" s="116"/>
      <c r="AU131" s="178"/>
      <c r="AV131" s="178"/>
      <c r="AW131" s="116"/>
      <c r="AX131" s="116"/>
      <c r="AY131" s="116"/>
      <c r="AZ131" s="164"/>
    </row>
    <row r="132" spans="1:52" x14ac:dyDescent="0.25">
      <c r="A132" s="138">
        <v>32</v>
      </c>
      <c r="B132" s="174" t="s">
        <v>244</v>
      </c>
      <c r="C132" s="103">
        <v>6</v>
      </c>
      <c r="D132" s="77" t="s">
        <v>38</v>
      </c>
      <c r="E132" s="77" t="s">
        <v>37</v>
      </c>
      <c r="F132" s="77">
        <v>1</v>
      </c>
      <c r="G132" s="89" t="s">
        <v>39</v>
      </c>
      <c r="H132" s="79">
        <v>1663</v>
      </c>
      <c r="I132" s="79">
        <f t="shared" si="46"/>
        <v>1663</v>
      </c>
      <c r="J132" s="79" t="s">
        <v>54</v>
      </c>
      <c r="K132" s="30">
        <v>1.1000000000000001</v>
      </c>
      <c r="L132" s="79">
        <f>I132*K132</f>
        <v>1829.3000000000002</v>
      </c>
      <c r="M132" s="127" t="s">
        <v>183</v>
      </c>
      <c r="N132" s="127" t="s">
        <v>183</v>
      </c>
      <c r="O132" s="127" t="s">
        <v>183</v>
      </c>
      <c r="P132" s="127" t="s">
        <v>183</v>
      </c>
      <c r="Q132" s="127" t="s">
        <v>183</v>
      </c>
      <c r="R132" s="127" t="s">
        <v>183</v>
      </c>
      <c r="S132" s="127" t="s">
        <v>183</v>
      </c>
      <c r="T132" s="127" t="s">
        <v>183</v>
      </c>
      <c r="U132" s="127" t="s">
        <v>183</v>
      </c>
      <c r="V132" s="127" t="s">
        <v>183</v>
      </c>
      <c r="W132" s="127" t="s">
        <v>183</v>
      </c>
      <c r="X132" s="127" t="s">
        <v>183</v>
      </c>
      <c r="Y132" s="127" t="s">
        <v>183</v>
      </c>
      <c r="Z132" s="127" t="s">
        <v>183</v>
      </c>
      <c r="AA132" s="127" t="s">
        <v>183</v>
      </c>
      <c r="AB132" s="127" t="s">
        <v>183</v>
      </c>
      <c r="AC132" s="127" t="s">
        <v>183</v>
      </c>
      <c r="AD132" s="127">
        <f>SUM(L132:L137)*1.2</f>
        <v>3275.0484000000001</v>
      </c>
      <c r="AE132" s="127">
        <f>AD132*AG132*AH132</f>
        <v>3647.5458549192003</v>
      </c>
      <c r="AF132" s="127">
        <f>AM132+AN132+AO132+AP132+AQ132+AR132</f>
        <v>3647.5458549192003</v>
      </c>
      <c r="AG132" s="124">
        <v>1.0740000000000001</v>
      </c>
      <c r="AH132" s="124">
        <v>1.0369999999999999</v>
      </c>
      <c r="AI132" s="178">
        <v>1.0389999999999999</v>
      </c>
      <c r="AJ132" s="178">
        <v>1.042</v>
      </c>
      <c r="AK132" s="178">
        <v>1.0429999999999999</v>
      </c>
      <c r="AL132" s="178">
        <v>1.0429999999999999</v>
      </c>
      <c r="AM132" s="178">
        <v>0</v>
      </c>
      <c r="AN132" s="116">
        <f>AD132*AG132*AH132</f>
        <v>3647.5458549192003</v>
      </c>
      <c r="AO132" s="178">
        <v>0</v>
      </c>
      <c r="AP132" s="178">
        <v>0</v>
      </c>
      <c r="AQ132" s="178">
        <v>0</v>
      </c>
      <c r="AR132" s="178">
        <v>0</v>
      </c>
      <c r="AS132" s="140">
        <v>3275.0484000000001</v>
      </c>
      <c r="AT132" s="116">
        <v>4377.0550259030397</v>
      </c>
      <c r="AU132" s="178">
        <v>1.0740000000000001</v>
      </c>
      <c r="AV132" s="178">
        <v>1.0369999999999999</v>
      </c>
      <c r="AW132" s="116">
        <v>0</v>
      </c>
      <c r="AX132" s="116">
        <v>4377.0550259030397</v>
      </c>
      <c r="AY132" s="116">
        <v>0</v>
      </c>
      <c r="AZ132" s="164">
        <f>AS9-O9</f>
        <v>0</v>
      </c>
    </row>
    <row r="133" spans="1:52" ht="90" x14ac:dyDescent="0.25">
      <c r="A133" s="138"/>
      <c r="B133" s="162"/>
      <c r="C133" s="112"/>
      <c r="D133" s="77" t="s">
        <v>42</v>
      </c>
      <c r="E133" s="77" t="s">
        <v>34</v>
      </c>
      <c r="F133" s="77">
        <v>0.187</v>
      </c>
      <c r="G133" s="29" t="s">
        <v>43</v>
      </c>
      <c r="H133" s="79">
        <v>699</v>
      </c>
      <c r="I133" s="79">
        <f t="shared" si="46"/>
        <v>130.71299999999999</v>
      </c>
      <c r="J133" s="79" t="s">
        <v>55</v>
      </c>
      <c r="K133" s="30">
        <v>1.05</v>
      </c>
      <c r="L133" s="79">
        <f>I133*K133</f>
        <v>137.24865</v>
      </c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5"/>
      <c r="AH133" s="125"/>
      <c r="AI133" s="178"/>
      <c r="AJ133" s="178"/>
      <c r="AK133" s="178"/>
      <c r="AL133" s="178"/>
      <c r="AM133" s="178"/>
      <c r="AN133" s="116"/>
      <c r="AO133" s="178"/>
      <c r="AP133" s="178"/>
      <c r="AQ133" s="178"/>
      <c r="AR133" s="178"/>
      <c r="AS133" s="140"/>
      <c r="AT133" s="116"/>
      <c r="AU133" s="178"/>
      <c r="AV133" s="178"/>
      <c r="AW133" s="116"/>
      <c r="AX133" s="116"/>
      <c r="AY133" s="116"/>
      <c r="AZ133" s="164"/>
    </row>
    <row r="134" spans="1:52" ht="60" x14ac:dyDescent="0.25">
      <c r="A134" s="138"/>
      <c r="B134" s="162"/>
      <c r="C134" s="112"/>
      <c r="D134" s="77" t="s">
        <v>44</v>
      </c>
      <c r="E134" s="77" t="s">
        <v>45</v>
      </c>
      <c r="F134" s="77">
        <v>11.61</v>
      </c>
      <c r="G134" s="29" t="s">
        <v>46</v>
      </c>
      <c r="H134" s="79">
        <v>17</v>
      </c>
      <c r="I134" s="79">
        <f t="shared" si="46"/>
        <v>197.37</v>
      </c>
      <c r="J134" s="79" t="s">
        <v>55</v>
      </c>
      <c r="K134" s="30">
        <v>1.05</v>
      </c>
      <c r="L134" s="79">
        <f>I134*K134</f>
        <v>207.23850000000002</v>
      </c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5"/>
      <c r="AH134" s="125"/>
      <c r="AI134" s="178"/>
      <c r="AJ134" s="178"/>
      <c r="AK134" s="178"/>
      <c r="AL134" s="178"/>
      <c r="AM134" s="178"/>
      <c r="AN134" s="116"/>
      <c r="AO134" s="178"/>
      <c r="AP134" s="178"/>
      <c r="AQ134" s="178"/>
      <c r="AR134" s="178"/>
      <c r="AS134" s="140"/>
      <c r="AT134" s="116"/>
      <c r="AU134" s="178"/>
      <c r="AV134" s="178"/>
      <c r="AW134" s="116"/>
      <c r="AX134" s="116"/>
      <c r="AY134" s="116"/>
      <c r="AZ134" s="164"/>
    </row>
    <row r="135" spans="1:52" ht="75" x14ac:dyDescent="0.25">
      <c r="A135" s="138"/>
      <c r="B135" s="162"/>
      <c r="C135" s="112"/>
      <c r="D135" s="77" t="s">
        <v>57</v>
      </c>
      <c r="E135" s="77" t="s">
        <v>34</v>
      </c>
      <c r="F135" s="77">
        <v>0.58899999999999997</v>
      </c>
      <c r="G135" s="29" t="s">
        <v>58</v>
      </c>
      <c r="H135" s="79">
        <v>413</v>
      </c>
      <c r="I135" s="79">
        <f t="shared" si="46"/>
        <v>243.25699999999998</v>
      </c>
      <c r="J135" s="79" t="s">
        <v>55</v>
      </c>
      <c r="K135" s="30">
        <v>1.05</v>
      </c>
      <c r="L135" s="79">
        <f>I135*K135</f>
        <v>255.41985</v>
      </c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5"/>
      <c r="AH135" s="125"/>
      <c r="AI135" s="178"/>
      <c r="AJ135" s="178"/>
      <c r="AK135" s="178"/>
      <c r="AL135" s="178"/>
      <c r="AM135" s="178"/>
      <c r="AN135" s="116"/>
      <c r="AO135" s="178"/>
      <c r="AP135" s="178"/>
      <c r="AQ135" s="178"/>
      <c r="AR135" s="178"/>
      <c r="AS135" s="140"/>
      <c r="AT135" s="116"/>
      <c r="AU135" s="178"/>
      <c r="AV135" s="178"/>
      <c r="AW135" s="116"/>
      <c r="AX135" s="116"/>
      <c r="AY135" s="116"/>
      <c r="AZ135" s="164"/>
    </row>
    <row r="136" spans="1:52" ht="75" x14ac:dyDescent="0.25">
      <c r="A136" s="138"/>
      <c r="B136" s="162"/>
      <c r="C136" s="112"/>
      <c r="D136" s="77" t="s">
        <v>48</v>
      </c>
      <c r="E136" s="77" t="s">
        <v>49</v>
      </c>
      <c r="F136" s="77"/>
      <c r="G136" s="29" t="s">
        <v>51</v>
      </c>
      <c r="H136" s="79">
        <v>187</v>
      </c>
      <c r="I136" s="79">
        <f t="shared" si="46"/>
        <v>0</v>
      </c>
      <c r="J136" s="79" t="s">
        <v>36</v>
      </c>
      <c r="K136" s="30" t="s">
        <v>36</v>
      </c>
      <c r="L136" s="79">
        <f>I136</f>
        <v>0</v>
      </c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5"/>
      <c r="AH136" s="125"/>
      <c r="AI136" s="178"/>
      <c r="AJ136" s="178"/>
      <c r="AK136" s="178"/>
      <c r="AL136" s="178"/>
      <c r="AM136" s="178"/>
      <c r="AN136" s="116"/>
      <c r="AO136" s="178"/>
      <c r="AP136" s="178"/>
      <c r="AQ136" s="178"/>
      <c r="AR136" s="178"/>
      <c r="AS136" s="140"/>
      <c r="AT136" s="116"/>
      <c r="AU136" s="178"/>
      <c r="AV136" s="178"/>
      <c r="AW136" s="116"/>
      <c r="AX136" s="116"/>
      <c r="AY136" s="116"/>
      <c r="AZ136" s="164"/>
    </row>
    <row r="137" spans="1:52" ht="30" x14ac:dyDescent="0.25">
      <c r="A137" s="138"/>
      <c r="B137" s="163"/>
      <c r="C137" s="104"/>
      <c r="D137" s="77" t="s">
        <v>40</v>
      </c>
      <c r="E137" s="77" t="s">
        <v>41</v>
      </c>
      <c r="F137" s="77">
        <v>1</v>
      </c>
      <c r="G137" s="29" t="s">
        <v>245</v>
      </c>
      <c r="H137" s="79">
        <v>300</v>
      </c>
      <c r="I137" s="79">
        <f t="shared" si="46"/>
        <v>300</v>
      </c>
      <c r="J137" s="79" t="s">
        <v>36</v>
      </c>
      <c r="K137" s="79" t="s">
        <v>36</v>
      </c>
      <c r="L137" s="79">
        <f>I137</f>
        <v>300</v>
      </c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6"/>
      <c r="AH137" s="126"/>
      <c r="AI137" s="178"/>
      <c r="AJ137" s="178"/>
      <c r="AK137" s="178"/>
      <c r="AL137" s="178"/>
      <c r="AM137" s="178"/>
      <c r="AN137" s="116"/>
      <c r="AO137" s="178"/>
      <c r="AP137" s="178"/>
      <c r="AQ137" s="178"/>
      <c r="AR137" s="178"/>
      <c r="AS137" s="140"/>
      <c r="AT137" s="116"/>
      <c r="AU137" s="178"/>
      <c r="AV137" s="178"/>
      <c r="AW137" s="116"/>
      <c r="AX137" s="116"/>
      <c r="AY137" s="116"/>
      <c r="AZ137" s="164"/>
    </row>
    <row r="138" spans="1:52" ht="15" customHeight="1" x14ac:dyDescent="0.25">
      <c r="A138" s="138">
        <v>33</v>
      </c>
      <c r="B138" s="199" t="s">
        <v>247</v>
      </c>
      <c r="C138" s="140">
        <v>10</v>
      </c>
      <c r="D138" s="77" t="s">
        <v>38</v>
      </c>
      <c r="E138" s="77" t="s">
        <v>37</v>
      </c>
      <c r="F138" s="77">
        <v>1</v>
      </c>
      <c r="G138" s="89" t="s">
        <v>39</v>
      </c>
      <c r="H138" s="79">
        <v>1663</v>
      </c>
      <c r="I138" s="79">
        <f>F138*H138</f>
        <v>1663</v>
      </c>
      <c r="J138" s="79" t="s">
        <v>54</v>
      </c>
      <c r="K138" s="30">
        <v>1.1000000000000001</v>
      </c>
      <c r="L138" s="79">
        <f>I138*K138</f>
        <v>1829.3000000000002</v>
      </c>
      <c r="M138" s="127" t="s">
        <v>183</v>
      </c>
      <c r="N138" s="127" t="s">
        <v>183</v>
      </c>
      <c r="O138" s="127" t="s">
        <v>183</v>
      </c>
      <c r="P138" s="127" t="s">
        <v>183</v>
      </c>
      <c r="Q138" s="127" t="s">
        <v>183</v>
      </c>
      <c r="R138" s="127" t="s">
        <v>183</v>
      </c>
      <c r="S138" s="127" t="s">
        <v>183</v>
      </c>
      <c r="T138" s="127" t="s">
        <v>183</v>
      </c>
      <c r="U138" s="127" t="s">
        <v>183</v>
      </c>
      <c r="V138" s="127" t="s">
        <v>183</v>
      </c>
      <c r="W138" s="127" t="s">
        <v>183</v>
      </c>
      <c r="X138" s="127" t="s">
        <v>183</v>
      </c>
      <c r="Y138" s="127" t="s">
        <v>183</v>
      </c>
      <c r="Z138" s="127" t="s">
        <v>183</v>
      </c>
      <c r="AA138" s="127" t="s">
        <v>183</v>
      </c>
      <c r="AB138" s="127" t="s">
        <v>183</v>
      </c>
      <c r="AC138" s="127" t="s">
        <v>183</v>
      </c>
      <c r="AD138" s="127">
        <f>SUM(L138:L143)*1.2</f>
        <v>14019.708000000001</v>
      </c>
      <c r="AE138" s="127">
        <f>AD138*AG138*AH138*AI138</f>
        <v>16806.236954427506</v>
      </c>
      <c r="AF138" s="127">
        <f>AM138+AN138+AO138+AP138+AQ138+AR138</f>
        <v>16806.236954427506</v>
      </c>
      <c r="AG138" s="124">
        <v>1.0740000000000001</v>
      </c>
      <c r="AH138" s="124">
        <v>1.0620000000000001</v>
      </c>
      <c r="AI138" s="178">
        <v>1.0509999999999999</v>
      </c>
      <c r="AJ138" s="178">
        <v>1.048</v>
      </c>
      <c r="AK138" s="178">
        <v>1.0469999999999999</v>
      </c>
      <c r="AL138" s="178">
        <v>1.0469999999999999</v>
      </c>
      <c r="AM138" s="178">
        <v>0</v>
      </c>
      <c r="AN138" s="116">
        <v>0</v>
      </c>
      <c r="AO138" s="116">
        <f>AD138*AG138*AH138*AI138</f>
        <v>16806.236954427506</v>
      </c>
      <c r="AP138" s="178">
        <v>0</v>
      </c>
      <c r="AQ138" s="178">
        <v>0</v>
      </c>
      <c r="AR138" s="178">
        <v>0</v>
      </c>
      <c r="AS138" s="138"/>
      <c r="AT138" s="116"/>
      <c r="AU138" s="178"/>
      <c r="AV138" s="178"/>
      <c r="AW138" s="116"/>
      <c r="AX138" s="116"/>
      <c r="AY138" s="116"/>
      <c r="AZ138" s="164">
        <f>AS9-O9</f>
        <v>0</v>
      </c>
    </row>
    <row r="139" spans="1:52" ht="90" x14ac:dyDescent="0.25">
      <c r="A139" s="138"/>
      <c r="B139" s="199"/>
      <c r="C139" s="140"/>
      <c r="D139" s="77" t="s">
        <v>42</v>
      </c>
      <c r="E139" s="77" t="s">
        <v>34</v>
      </c>
      <c r="F139" s="77">
        <v>5.23</v>
      </c>
      <c r="G139" s="29" t="s">
        <v>43</v>
      </c>
      <c r="H139" s="79">
        <v>699</v>
      </c>
      <c r="I139" s="79">
        <f>F139*H139</f>
        <v>3655.7700000000004</v>
      </c>
      <c r="J139" s="79" t="s">
        <v>55</v>
      </c>
      <c r="K139" s="30">
        <v>1.05</v>
      </c>
      <c r="L139" s="79">
        <f t="shared" ref="L139:L141" si="47">I139*K139</f>
        <v>3838.5585000000005</v>
      </c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5"/>
      <c r="AH139" s="125"/>
      <c r="AI139" s="178"/>
      <c r="AJ139" s="178"/>
      <c r="AK139" s="178"/>
      <c r="AL139" s="178"/>
      <c r="AM139" s="178"/>
      <c r="AN139" s="116"/>
      <c r="AO139" s="116"/>
      <c r="AP139" s="178"/>
      <c r="AQ139" s="178"/>
      <c r="AR139" s="178"/>
      <c r="AS139" s="138"/>
      <c r="AT139" s="116"/>
      <c r="AU139" s="178"/>
      <c r="AV139" s="178"/>
      <c r="AW139" s="116"/>
      <c r="AX139" s="116"/>
      <c r="AY139" s="116"/>
      <c r="AZ139" s="164"/>
    </row>
    <row r="140" spans="1:52" ht="60" x14ac:dyDescent="0.25">
      <c r="A140" s="138"/>
      <c r="B140" s="199"/>
      <c r="C140" s="140"/>
      <c r="D140" s="77" t="s">
        <v>44</v>
      </c>
      <c r="E140" s="77" t="s">
        <v>45</v>
      </c>
      <c r="F140" s="77">
        <v>170.12</v>
      </c>
      <c r="G140" s="29" t="s">
        <v>46</v>
      </c>
      <c r="H140" s="79">
        <v>17</v>
      </c>
      <c r="I140" s="79">
        <f t="shared" ref="I140:I155" si="48">F140*H140</f>
        <v>2892.04</v>
      </c>
      <c r="J140" s="79" t="s">
        <v>55</v>
      </c>
      <c r="K140" s="30">
        <v>1.05</v>
      </c>
      <c r="L140" s="79">
        <f t="shared" si="47"/>
        <v>3036.6420000000003</v>
      </c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5"/>
      <c r="AH140" s="125"/>
      <c r="AI140" s="178"/>
      <c r="AJ140" s="178"/>
      <c r="AK140" s="178"/>
      <c r="AL140" s="178"/>
      <c r="AM140" s="178"/>
      <c r="AN140" s="116"/>
      <c r="AO140" s="116"/>
      <c r="AP140" s="178"/>
      <c r="AQ140" s="178"/>
      <c r="AR140" s="178"/>
      <c r="AS140" s="138"/>
      <c r="AT140" s="116"/>
      <c r="AU140" s="178"/>
      <c r="AV140" s="178"/>
      <c r="AW140" s="116"/>
      <c r="AX140" s="116"/>
      <c r="AY140" s="116"/>
      <c r="AZ140" s="164"/>
    </row>
    <row r="141" spans="1:52" ht="75" x14ac:dyDescent="0.25">
      <c r="A141" s="138"/>
      <c r="B141" s="199"/>
      <c r="C141" s="140"/>
      <c r="D141" s="77" t="s">
        <v>57</v>
      </c>
      <c r="E141" s="77" t="s">
        <v>34</v>
      </c>
      <c r="F141" s="77">
        <v>5.23</v>
      </c>
      <c r="G141" s="29" t="s">
        <v>58</v>
      </c>
      <c r="H141" s="79">
        <v>413</v>
      </c>
      <c r="I141" s="79">
        <f t="shared" si="48"/>
        <v>2159.9900000000002</v>
      </c>
      <c r="J141" s="79" t="s">
        <v>55</v>
      </c>
      <c r="K141" s="30">
        <v>1.05</v>
      </c>
      <c r="L141" s="79">
        <f t="shared" si="47"/>
        <v>2267.9895000000001</v>
      </c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5"/>
      <c r="AH141" s="125"/>
      <c r="AI141" s="178"/>
      <c r="AJ141" s="178"/>
      <c r="AK141" s="178"/>
      <c r="AL141" s="178"/>
      <c r="AM141" s="178"/>
      <c r="AN141" s="116"/>
      <c r="AO141" s="116"/>
      <c r="AP141" s="178"/>
      <c r="AQ141" s="178"/>
      <c r="AR141" s="178"/>
      <c r="AS141" s="138"/>
      <c r="AT141" s="116"/>
      <c r="AU141" s="178"/>
      <c r="AV141" s="178"/>
      <c r="AW141" s="116"/>
      <c r="AX141" s="116"/>
      <c r="AY141" s="116"/>
      <c r="AZ141" s="164"/>
    </row>
    <row r="142" spans="1:52" ht="75" x14ac:dyDescent="0.25">
      <c r="A142" s="138"/>
      <c r="B142" s="199"/>
      <c r="C142" s="140"/>
      <c r="D142" s="77" t="s">
        <v>48</v>
      </c>
      <c r="E142" s="77" t="s">
        <v>49</v>
      </c>
      <c r="F142" s="77">
        <v>0.8</v>
      </c>
      <c r="G142" s="29" t="s">
        <v>51</v>
      </c>
      <c r="H142" s="79">
        <v>187</v>
      </c>
      <c r="I142" s="79">
        <f t="shared" si="48"/>
        <v>149.6</v>
      </c>
      <c r="J142" s="79" t="s">
        <v>36</v>
      </c>
      <c r="K142" s="30" t="s">
        <v>36</v>
      </c>
      <c r="L142" s="79">
        <f>I142</f>
        <v>149.6</v>
      </c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5"/>
      <c r="AH142" s="125"/>
      <c r="AI142" s="178"/>
      <c r="AJ142" s="178"/>
      <c r="AK142" s="178"/>
      <c r="AL142" s="178"/>
      <c r="AM142" s="178"/>
      <c r="AN142" s="116"/>
      <c r="AO142" s="116"/>
      <c r="AP142" s="178"/>
      <c r="AQ142" s="178"/>
      <c r="AR142" s="178"/>
      <c r="AS142" s="138"/>
      <c r="AT142" s="116"/>
      <c r="AU142" s="178"/>
      <c r="AV142" s="178"/>
      <c r="AW142" s="116"/>
      <c r="AX142" s="116"/>
      <c r="AY142" s="116"/>
      <c r="AZ142" s="164"/>
    </row>
    <row r="143" spans="1:52" ht="30" x14ac:dyDescent="0.25">
      <c r="A143" s="138"/>
      <c r="B143" s="199"/>
      <c r="C143" s="140"/>
      <c r="D143" s="77" t="s">
        <v>20</v>
      </c>
      <c r="E143" s="77" t="s">
        <v>218</v>
      </c>
      <c r="F143" s="77">
        <v>1</v>
      </c>
      <c r="G143" s="29" t="s">
        <v>248</v>
      </c>
      <c r="H143" s="79">
        <v>561</v>
      </c>
      <c r="I143" s="79">
        <f t="shared" si="48"/>
        <v>561</v>
      </c>
      <c r="J143" s="79" t="s">
        <v>36</v>
      </c>
      <c r="K143" s="79" t="s">
        <v>36</v>
      </c>
      <c r="L143" s="79">
        <f>I143</f>
        <v>561</v>
      </c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6"/>
      <c r="AH143" s="126"/>
      <c r="AI143" s="178"/>
      <c r="AJ143" s="178"/>
      <c r="AK143" s="178"/>
      <c r="AL143" s="178"/>
      <c r="AM143" s="178"/>
      <c r="AN143" s="116"/>
      <c r="AO143" s="116"/>
      <c r="AP143" s="178"/>
      <c r="AQ143" s="178"/>
      <c r="AR143" s="178"/>
      <c r="AS143" s="138"/>
      <c r="AT143" s="116"/>
      <c r="AU143" s="178"/>
      <c r="AV143" s="178"/>
      <c r="AW143" s="116"/>
      <c r="AX143" s="116"/>
      <c r="AY143" s="116"/>
      <c r="AZ143" s="164"/>
    </row>
    <row r="144" spans="1:52" ht="15" customHeight="1" x14ac:dyDescent="0.25">
      <c r="A144" s="138">
        <v>34</v>
      </c>
      <c r="B144" s="200" t="s">
        <v>249</v>
      </c>
      <c r="C144" s="140">
        <v>6</v>
      </c>
      <c r="D144" s="77" t="s">
        <v>38</v>
      </c>
      <c r="E144" s="77" t="s">
        <v>37</v>
      </c>
      <c r="F144" s="77">
        <v>0</v>
      </c>
      <c r="G144" s="89" t="s">
        <v>39</v>
      </c>
      <c r="H144" s="79">
        <v>1663</v>
      </c>
      <c r="I144" s="79">
        <f t="shared" si="48"/>
        <v>0</v>
      </c>
      <c r="J144" s="79" t="s">
        <v>54</v>
      </c>
      <c r="K144" s="30">
        <v>1.1000000000000001</v>
      </c>
      <c r="L144" s="79">
        <f>I144*K144</f>
        <v>0</v>
      </c>
      <c r="M144" s="127" t="s">
        <v>183</v>
      </c>
      <c r="N144" s="127" t="s">
        <v>183</v>
      </c>
      <c r="O144" s="127" t="s">
        <v>183</v>
      </c>
      <c r="P144" s="127" t="s">
        <v>183</v>
      </c>
      <c r="Q144" s="127" t="s">
        <v>183</v>
      </c>
      <c r="R144" s="127" t="s">
        <v>183</v>
      </c>
      <c r="S144" s="127" t="s">
        <v>183</v>
      </c>
      <c r="T144" s="127" t="s">
        <v>183</v>
      </c>
      <c r="U144" s="127" t="s">
        <v>183</v>
      </c>
      <c r="V144" s="127" t="s">
        <v>183</v>
      </c>
      <c r="W144" s="127" t="s">
        <v>183</v>
      </c>
      <c r="X144" s="127" t="s">
        <v>183</v>
      </c>
      <c r="Y144" s="127" t="s">
        <v>183</v>
      </c>
      <c r="Z144" s="127" t="s">
        <v>183</v>
      </c>
      <c r="AA144" s="127" t="s">
        <v>183</v>
      </c>
      <c r="AB144" s="127" t="s">
        <v>183</v>
      </c>
      <c r="AC144" s="127" t="s">
        <v>183</v>
      </c>
      <c r="AD144" s="127">
        <f>SUM(L144:L149)*1.2</f>
        <v>37482.794400000006</v>
      </c>
      <c r="AE144" s="127">
        <f>AD144*AG144*AH144*AI144</f>
        <v>43374.10695577642</v>
      </c>
      <c r="AF144" s="127">
        <f>AM144+AN144+AO144+AP144+AQ144+AR144</f>
        <v>43374.10695577642</v>
      </c>
      <c r="AG144" s="124">
        <v>1.0740000000000001</v>
      </c>
      <c r="AH144" s="124">
        <v>1.0369999999999999</v>
      </c>
      <c r="AI144" s="178">
        <v>1.0389999999999999</v>
      </c>
      <c r="AJ144" s="178">
        <v>1.042</v>
      </c>
      <c r="AK144" s="178">
        <v>1.0429999999999999</v>
      </c>
      <c r="AL144" s="178">
        <v>1.0429999999999999</v>
      </c>
      <c r="AM144" s="178">
        <v>0</v>
      </c>
      <c r="AN144" s="116">
        <v>0</v>
      </c>
      <c r="AO144" s="116">
        <f>AD144*AG144*AH144*AI144</f>
        <v>43374.10695577642</v>
      </c>
      <c r="AP144" s="178">
        <v>0</v>
      </c>
      <c r="AQ144" s="178">
        <v>0</v>
      </c>
      <c r="AR144" s="178">
        <v>0</v>
      </c>
      <c r="AS144" s="138"/>
      <c r="AT144" s="116"/>
      <c r="AU144" s="178"/>
      <c r="AV144" s="178"/>
      <c r="AW144" s="116"/>
      <c r="AX144" s="116"/>
      <c r="AY144" s="116"/>
      <c r="AZ144" s="164">
        <f>AS9-O9</f>
        <v>0</v>
      </c>
    </row>
    <row r="145" spans="1:53" ht="90" x14ac:dyDescent="0.25">
      <c r="A145" s="138"/>
      <c r="B145" s="201"/>
      <c r="C145" s="140"/>
      <c r="D145" s="77" t="s">
        <v>42</v>
      </c>
      <c r="E145" s="77" t="s">
        <v>34</v>
      </c>
      <c r="F145" s="77">
        <v>9.1999999999999993</v>
      </c>
      <c r="G145" s="29" t="s">
        <v>43</v>
      </c>
      <c r="H145" s="79">
        <v>699</v>
      </c>
      <c r="I145" s="79">
        <f t="shared" si="48"/>
        <v>6430.7999999999993</v>
      </c>
      <c r="J145" s="79" t="s">
        <v>55</v>
      </c>
      <c r="K145" s="30">
        <v>1.05</v>
      </c>
      <c r="L145" s="79">
        <f>I145*K145</f>
        <v>6752.3399999999992</v>
      </c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5"/>
      <c r="AH145" s="125"/>
      <c r="AI145" s="178"/>
      <c r="AJ145" s="178"/>
      <c r="AK145" s="178"/>
      <c r="AL145" s="178"/>
      <c r="AM145" s="178"/>
      <c r="AN145" s="116"/>
      <c r="AO145" s="116"/>
      <c r="AP145" s="178"/>
      <c r="AQ145" s="178"/>
      <c r="AR145" s="178"/>
      <c r="AS145" s="138"/>
      <c r="AT145" s="116"/>
      <c r="AU145" s="178"/>
      <c r="AV145" s="178"/>
      <c r="AW145" s="116"/>
      <c r="AX145" s="116"/>
      <c r="AY145" s="116"/>
      <c r="AZ145" s="164"/>
    </row>
    <row r="146" spans="1:53" ht="60" x14ac:dyDescent="0.25">
      <c r="A146" s="138"/>
      <c r="B146" s="201"/>
      <c r="C146" s="140"/>
      <c r="D146" s="77" t="s">
        <v>44</v>
      </c>
      <c r="E146" s="77" t="s">
        <v>45</v>
      </c>
      <c r="F146" s="77">
        <v>207.92</v>
      </c>
      <c r="G146" s="29" t="s">
        <v>46</v>
      </c>
      <c r="H146" s="79">
        <v>17</v>
      </c>
      <c r="I146" s="79">
        <f t="shared" si="48"/>
        <v>3534.64</v>
      </c>
      <c r="J146" s="79" t="s">
        <v>55</v>
      </c>
      <c r="K146" s="30">
        <v>1.05</v>
      </c>
      <c r="L146" s="79">
        <f>I146*K146</f>
        <v>3711.3719999999998</v>
      </c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5"/>
      <c r="AH146" s="125"/>
      <c r="AI146" s="178"/>
      <c r="AJ146" s="178"/>
      <c r="AK146" s="178"/>
      <c r="AL146" s="178"/>
      <c r="AM146" s="178"/>
      <c r="AN146" s="116"/>
      <c r="AO146" s="116"/>
      <c r="AP146" s="178"/>
      <c r="AQ146" s="178"/>
      <c r="AR146" s="178"/>
      <c r="AS146" s="138"/>
      <c r="AT146" s="116"/>
      <c r="AU146" s="178"/>
      <c r="AV146" s="178"/>
      <c r="AW146" s="116"/>
      <c r="AX146" s="116"/>
      <c r="AY146" s="116"/>
      <c r="AZ146" s="164"/>
    </row>
    <row r="147" spans="1:53" ht="75" x14ac:dyDescent="0.25">
      <c r="A147" s="138"/>
      <c r="B147" s="201"/>
      <c r="C147" s="140"/>
      <c r="D147" s="77" t="s">
        <v>47</v>
      </c>
      <c r="E147" s="77" t="s">
        <v>34</v>
      </c>
      <c r="F147" s="77">
        <v>27.6</v>
      </c>
      <c r="G147" s="29" t="s">
        <v>250</v>
      </c>
      <c r="H147" s="79">
        <v>449</v>
      </c>
      <c r="I147" s="79">
        <f t="shared" si="48"/>
        <v>12392.400000000001</v>
      </c>
      <c r="J147" s="79" t="s">
        <v>55</v>
      </c>
      <c r="K147" s="30">
        <v>1.05</v>
      </c>
      <c r="L147" s="79">
        <f>I147*K147</f>
        <v>13012.020000000002</v>
      </c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5"/>
      <c r="AH147" s="125"/>
      <c r="AI147" s="178"/>
      <c r="AJ147" s="178"/>
      <c r="AK147" s="178"/>
      <c r="AL147" s="178"/>
      <c r="AM147" s="178"/>
      <c r="AN147" s="116"/>
      <c r="AO147" s="116"/>
      <c r="AP147" s="178"/>
      <c r="AQ147" s="178"/>
      <c r="AR147" s="178"/>
      <c r="AS147" s="138"/>
      <c r="AT147" s="116"/>
      <c r="AU147" s="178"/>
      <c r="AV147" s="178"/>
      <c r="AW147" s="116"/>
      <c r="AX147" s="116"/>
      <c r="AY147" s="116"/>
      <c r="AZ147" s="164"/>
    </row>
    <row r="148" spans="1:53" ht="75" x14ac:dyDescent="0.25">
      <c r="A148" s="138"/>
      <c r="B148" s="201"/>
      <c r="C148" s="140"/>
      <c r="D148" s="77" t="s">
        <v>48</v>
      </c>
      <c r="E148" s="77" t="s">
        <v>49</v>
      </c>
      <c r="F148" s="77">
        <v>1.39</v>
      </c>
      <c r="G148" s="29" t="s">
        <v>51</v>
      </c>
      <c r="H148" s="79">
        <v>187</v>
      </c>
      <c r="I148" s="79">
        <f t="shared" si="48"/>
        <v>259.93</v>
      </c>
      <c r="J148" s="79" t="s">
        <v>36</v>
      </c>
      <c r="K148" s="30" t="s">
        <v>36</v>
      </c>
      <c r="L148" s="79">
        <f>I148</f>
        <v>259.93</v>
      </c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5"/>
      <c r="AH148" s="125"/>
      <c r="AI148" s="178"/>
      <c r="AJ148" s="178"/>
      <c r="AK148" s="178"/>
      <c r="AL148" s="178"/>
      <c r="AM148" s="178"/>
      <c r="AN148" s="116"/>
      <c r="AO148" s="116"/>
      <c r="AP148" s="178"/>
      <c r="AQ148" s="178"/>
      <c r="AR148" s="178"/>
      <c r="AS148" s="138"/>
      <c r="AT148" s="116"/>
      <c r="AU148" s="178"/>
      <c r="AV148" s="178"/>
      <c r="AW148" s="116"/>
      <c r="AX148" s="116"/>
      <c r="AY148" s="116"/>
      <c r="AZ148" s="164"/>
    </row>
    <row r="149" spans="1:53" ht="30" x14ac:dyDescent="0.25">
      <c r="A149" s="138"/>
      <c r="B149" s="202"/>
      <c r="C149" s="140"/>
      <c r="D149" s="77" t="s">
        <v>105</v>
      </c>
      <c r="E149" s="77" t="s">
        <v>41</v>
      </c>
      <c r="F149" s="77">
        <v>1</v>
      </c>
      <c r="G149" s="29" t="s">
        <v>187</v>
      </c>
      <c r="H149" s="79">
        <v>7500</v>
      </c>
      <c r="I149" s="79">
        <f t="shared" si="48"/>
        <v>7500</v>
      </c>
      <c r="J149" s="79" t="s">
        <v>36</v>
      </c>
      <c r="K149" s="79" t="s">
        <v>36</v>
      </c>
      <c r="L149" s="79">
        <f>I149</f>
        <v>7500</v>
      </c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6"/>
      <c r="AH149" s="126"/>
      <c r="AI149" s="178"/>
      <c r="AJ149" s="178"/>
      <c r="AK149" s="178"/>
      <c r="AL149" s="178"/>
      <c r="AM149" s="178"/>
      <c r="AN149" s="116"/>
      <c r="AO149" s="116"/>
      <c r="AP149" s="178"/>
      <c r="AQ149" s="178"/>
      <c r="AR149" s="178"/>
      <c r="AS149" s="138"/>
      <c r="AT149" s="116"/>
      <c r="AU149" s="178"/>
      <c r="AV149" s="178"/>
      <c r="AW149" s="116"/>
      <c r="AX149" s="116"/>
      <c r="AY149" s="116"/>
      <c r="AZ149" s="164"/>
    </row>
    <row r="150" spans="1:53" ht="15" customHeight="1" x14ac:dyDescent="0.25">
      <c r="A150" s="138">
        <v>35</v>
      </c>
      <c r="B150" s="199" t="s">
        <v>251</v>
      </c>
      <c r="C150" s="140">
        <v>6</v>
      </c>
      <c r="D150" s="77" t="s">
        <v>63</v>
      </c>
      <c r="E150" s="77" t="s">
        <v>37</v>
      </c>
      <c r="F150" s="77">
        <v>1</v>
      </c>
      <c r="G150" s="89" t="s">
        <v>252</v>
      </c>
      <c r="H150" s="79">
        <v>928</v>
      </c>
      <c r="I150" s="79">
        <f t="shared" si="48"/>
        <v>928</v>
      </c>
      <c r="J150" s="79" t="s">
        <v>59</v>
      </c>
      <c r="K150" s="30">
        <v>1.03</v>
      </c>
      <c r="L150" s="79">
        <f>I150*K150</f>
        <v>955.84</v>
      </c>
      <c r="M150" s="127" t="s">
        <v>183</v>
      </c>
      <c r="N150" s="127" t="s">
        <v>183</v>
      </c>
      <c r="O150" s="127" t="s">
        <v>183</v>
      </c>
      <c r="P150" s="127" t="s">
        <v>183</v>
      </c>
      <c r="Q150" s="127" t="s">
        <v>183</v>
      </c>
      <c r="R150" s="127" t="s">
        <v>183</v>
      </c>
      <c r="S150" s="127" t="s">
        <v>183</v>
      </c>
      <c r="T150" s="127" t="s">
        <v>183</v>
      </c>
      <c r="U150" s="127" t="s">
        <v>183</v>
      </c>
      <c r="V150" s="127" t="s">
        <v>183</v>
      </c>
      <c r="W150" s="127" t="s">
        <v>183</v>
      </c>
      <c r="X150" s="127" t="s">
        <v>183</v>
      </c>
      <c r="Y150" s="127" t="s">
        <v>183</v>
      </c>
      <c r="Z150" s="127" t="s">
        <v>183</v>
      </c>
      <c r="AA150" s="127" t="s">
        <v>183</v>
      </c>
      <c r="AB150" s="127" t="s">
        <v>183</v>
      </c>
      <c r="AC150" s="127" t="s">
        <v>183</v>
      </c>
      <c r="AD150" s="127">
        <f>SUM(L150:L155)*1.2</f>
        <v>5083.8775199999991</v>
      </c>
      <c r="AE150" s="127">
        <f>AD150*AG150*AH150*AI150</f>
        <v>5882.9297770431795</v>
      </c>
      <c r="AF150" s="127">
        <f>AM150+AN150+AO150+AP150+AQ150+AR150</f>
        <v>5882.9297770431795</v>
      </c>
      <c r="AG150" s="124">
        <v>1.0740000000000001</v>
      </c>
      <c r="AH150" s="124">
        <v>1.0369999999999999</v>
      </c>
      <c r="AI150" s="178">
        <v>1.0389999999999999</v>
      </c>
      <c r="AJ150" s="178">
        <v>1.042</v>
      </c>
      <c r="AK150" s="178">
        <v>1.0429999999999999</v>
      </c>
      <c r="AL150" s="178">
        <v>1.0429999999999999</v>
      </c>
      <c r="AM150" s="178">
        <v>0</v>
      </c>
      <c r="AN150" s="116">
        <v>0</v>
      </c>
      <c r="AO150" s="116">
        <f>AD150*AG150*AH150*AI150</f>
        <v>5882.9297770431795</v>
      </c>
      <c r="AP150" s="178">
        <v>0</v>
      </c>
      <c r="AQ150" s="178">
        <v>0</v>
      </c>
      <c r="AR150" s="178">
        <v>0</v>
      </c>
      <c r="AS150" s="138" t="s">
        <v>183</v>
      </c>
      <c r="AT150" s="138" t="s">
        <v>183</v>
      </c>
      <c r="AU150" s="138" t="s">
        <v>183</v>
      </c>
      <c r="AV150" s="138" t="s">
        <v>183</v>
      </c>
      <c r="AW150" s="138" t="s">
        <v>183</v>
      </c>
      <c r="AX150" s="138" t="s">
        <v>183</v>
      </c>
      <c r="AY150" s="138" t="s">
        <v>183</v>
      </c>
      <c r="AZ150" s="164">
        <f>AS9-O9</f>
        <v>0</v>
      </c>
    </row>
    <row r="151" spans="1:53" ht="90" x14ac:dyDescent="0.25">
      <c r="A151" s="138"/>
      <c r="B151" s="199"/>
      <c r="C151" s="140"/>
      <c r="D151" s="77" t="s">
        <v>42</v>
      </c>
      <c r="E151" s="77" t="s">
        <v>34</v>
      </c>
      <c r="F151" s="77">
        <v>0.77600000000000002</v>
      </c>
      <c r="G151" s="29" t="s">
        <v>43</v>
      </c>
      <c r="H151" s="79">
        <v>699</v>
      </c>
      <c r="I151" s="79">
        <f t="shared" si="48"/>
        <v>542.42399999999998</v>
      </c>
      <c r="J151" s="79" t="s">
        <v>55</v>
      </c>
      <c r="K151" s="30">
        <v>1.05</v>
      </c>
      <c r="L151" s="79">
        <f>I151*K151</f>
        <v>569.54520000000002</v>
      </c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5"/>
      <c r="AH151" s="125"/>
      <c r="AI151" s="178"/>
      <c r="AJ151" s="178"/>
      <c r="AK151" s="178"/>
      <c r="AL151" s="178"/>
      <c r="AM151" s="178"/>
      <c r="AN151" s="116"/>
      <c r="AO151" s="116"/>
      <c r="AP151" s="178"/>
      <c r="AQ151" s="178"/>
      <c r="AR151" s="178"/>
      <c r="AS151" s="138"/>
      <c r="AT151" s="138"/>
      <c r="AU151" s="138"/>
      <c r="AV151" s="138"/>
      <c r="AW151" s="138"/>
      <c r="AX151" s="138"/>
      <c r="AY151" s="138"/>
      <c r="AZ151" s="164"/>
    </row>
    <row r="152" spans="1:53" ht="60" x14ac:dyDescent="0.25">
      <c r="A152" s="138"/>
      <c r="B152" s="199"/>
      <c r="C152" s="140"/>
      <c r="D152" s="77" t="s">
        <v>44</v>
      </c>
      <c r="E152" s="77" t="s">
        <v>45</v>
      </c>
      <c r="F152" s="77">
        <v>18.079999999999998</v>
      </c>
      <c r="G152" s="29" t="s">
        <v>46</v>
      </c>
      <c r="H152" s="79">
        <v>17</v>
      </c>
      <c r="I152" s="79">
        <f t="shared" si="48"/>
        <v>307.35999999999996</v>
      </c>
      <c r="J152" s="79" t="s">
        <v>55</v>
      </c>
      <c r="K152" s="30">
        <v>1.05</v>
      </c>
      <c r="L152" s="79">
        <f>I152*K152</f>
        <v>322.72799999999995</v>
      </c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5"/>
      <c r="AH152" s="125"/>
      <c r="AI152" s="178"/>
      <c r="AJ152" s="178"/>
      <c r="AK152" s="178"/>
      <c r="AL152" s="178"/>
      <c r="AM152" s="178"/>
      <c r="AN152" s="116"/>
      <c r="AO152" s="116"/>
      <c r="AP152" s="178"/>
      <c r="AQ152" s="178"/>
      <c r="AR152" s="178"/>
      <c r="AS152" s="138"/>
      <c r="AT152" s="138"/>
      <c r="AU152" s="138"/>
      <c r="AV152" s="138"/>
      <c r="AW152" s="138"/>
      <c r="AX152" s="138"/>
      <c r="AY152" s="138"/>
      <c r="AZ152" s="164"/>
    </row>
    <row r="153" spans="1:53" ht="75" x14ac:dyDescent="0.25">
      <c r="A153" s="138"/>
      <c r="B153" s="199"/>
      <c r="C153" s="140"/>
      <c r="D153" s="77" t="s">
        <v>57</v>
      </c>
      <c r="E153" s="77" t="s">
        <v>34</v>
      </c>
      <c r="F153" s="77">
        <v>4.6559999999999997</v>
      </c>
      <c r="G153" s="29" t="s">
        <v>58</v>
      </c>
      <c r="H153" s="79">
        <v>413</v>
      </c>
      <c r="I153" s="79">
        <f t="shared" si="48"/>
        <v>1922.9279999999999</v>
      </c>
      <c r="J153" s="79" t="s">
        <v>55</v>
      </c>
      <c r="K153" s="30">
        <v>1.05</v>
      </c>
      <c r="L153" s="79">
        <f>I153*K153</f>
        <v>2019.0744</v>
      </c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5"/>
      <c r="AH153" s="125"/>
      <c r="AI153" s="178"/>
      <c r="AJ153" s="178"/>
      <c r="AK153" s="178"/>
      <c r="AL153" s="178"/>
      <c r="AM153" s="178"/>
      <c r="AN153" s="116"/>
      <c r="AO153" s="116"/>
      <c r="AP153" s="178"/>
      <c r="AQ153" s="178"/>
      <c r="AR153" s="178"/>
      <c r="AS153" s="138"/>
      <c r="AT153" s="138"/>
      <c r="AU153" s="138"/>
      <c r="AV153" s="138"/>
      <c r="AW153" s="138"/>
      <c r="AX153" s="138"/>
      <c r="AY153" s="138"/>
      <c r="AZ153" s="164"/>
    </row>
    <row r="154" spans="1:53" ht="75" x14ac:dyDescent="0.25">
      <c r="A154" s="138"/>
      <c r="B154" s="199"/>
      <c r="C154" s="140"/>
      <c r="D154" s="77" t="s">
        <v>48</v>
      </c>
      <c r="E154" s="77" t="s">
        <v>49</v>
      </c>
      <c r="F154" s="77">
        <v>0.371</v>
      </c>
      <c r="G154" s="29" t="s">
        <v>51</v>
      </c>
      <c r="H154" s="79">
        <v>187</v>
      </c>
      <c r="I154" s="79">
        <f t="shared" si="48"/>
        <v>69.376999999999995</v>
      </c>
      <c r="J154" s="79" t="s">
        <v>36</v>
      </c>
      <c r="K154" s="30" t="s">
        <v>36</v>
      </c>
      <c r="L154" s="79">
        <f>I154</f>
        <v>69.376999999999995</v>
      </c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5"/>
      <c r="AH154" s="125"/>
      <c r="AI154" s="178"/>
      <c r="AJ154" s="178"/>
      <c r="AK154" s="178"/>
      <c r="AL154" s="178"/>
      <c r="AM154" s="178"/>
      <c r="AN154" s="116"/>
      <c r="AO154" s="116"/>
      <c r="AP154" s="178"/>
      <c r="AQ154" s="178"/>
      <c r="AR154" s="178"/>
      <c r="AS154" s="138"/>
      <c r="AT154" s="138"/>
      <c r="AU154" s="138"/>
      <c r="AV154" s="138"/>
      <c r="AW154" s="138"/>
      <c r="AX154" s="138"/>
      <c r="AY154" s="138"/>
      <c r="AZ154" s="164"/>
    </row>
    <row r="155" spans="1:53" ht="30" x14ac:dyDescent="0.25">
      <c r="A155" s="138"/>
      <c r="B155" s="199"/>
      <c r="C155" s="140"/>
      <c r="D155" s="77" t="s">
        <v>40</v>
      </c>
      <c r="E155" s="77" t="s">
        <v>41</v>
      </c>
      <c r="F155" s="77">
        <v>1</v>
      </c>
      <c r="G155" s="29" t="s">
        <v>245</v>
      </c>
      <c r="H155" s="79">
        <v>300</v>
      </c>
      <c r="I155" s="79">
        <f t="shared" si="48"/>
        <v>300</v>
      </c>
      <c r="J155" s="79" t="s">
        <v>36</v>
      </c>
      <c r="K155" s="79" t="s">
        <v>36</v>
      </c>
      <c r="L155" s="79">
        <f>I155</f>
        <v>300</v>
      </c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6"/>
      <c r="AH155" s="126"/>
      <c r="AI155" s="178"/>
      <c r="AJ155" s="178"/>
      <c r="AK155" s="178"/>
      <c r="AL155" s="178"/>
      <c r="AM155" s="178"/>
      <c r="AN155" s="116"/>
      <c r="AO155" s="116"/>
      <c r="AP155" s="178"/>
      <c r="AQ155" s="178"/>
      <c r="AR155" s="178"/>
      <c r="AS155" s="138"/>
      <c r="AT155" s="138"/>
      <c r="AU155" s="138"/>
      <c r="AV155" s="138"/>
      <c r="AW155" s="138"/>
      <c r="AX155" s="138"/>
      <c r="AY155" s="138"/>
      <c r="AZ155" s="164"/>
    </row>
    <row r="156" spans="1:53" ht="63.75" customHeight="1" x14ac:dyDescent="0.25">
      <c r="A156" s="138">
        <v>36</v>
      </c>
      <c r="B156" s="199" t="s">
        <v>253</v>
      </c>
      <c r="C156" s="140">
        <v>110</v>
      </c>
      <c r="D156" s="77" t="s">
        <v>259</v>
      </c>
      <c r="E156" s="77" t="s">
        <v>34</v>
      </c>
      <c r="F156" s="77">
        <v>5</v>
      </c>
      <c r="G156" s="89" t="s">
        <v>258</v>
      </c>
      <c r="H156" s="79">
        <v>286</v>
      </c>
      <c r="I156" s="79">
        <f t="shared" ref="I156:I158" si="49">F156*H156</f>
        <v>1430</v>
      </c>
      <c r="J156" s="79" t="s">
        <v>55</v>
      </c>
      <c r="K156" s="30">
        <v>1.05</v>
      </c>
      <c r="L156" s="79">
        <f>I156*K156</f>
        <v>1501.5</v>
      </c>
      <c r="M156" s="116" t="s">
        <v>183</v>
      </c>
      <c r="N156" s="116" t="s">
        <v>183</v>
      </c>
      <c r="O156" s="116" t="s">
        <v>183</v>
      </c>
      <c r="P156" s="116" t="s">
        <v>183</v>
      </c>
      <c r="Q156" s="116" t="s">
        <v>183</v>
      </c>
      <c r="R156" s="116" t="s">
        <v>183</v>
      </c>
      <c r="S156" s="116" t="s">
        <v>183</v>
      </c>
      <c r="T156" s="116" t="s">
        <v>183</v>
      </c>
      <c r="U156" s="116" t="s">
        <v>183</v>
      </c>
      <c r="V156" s="116" t="s">
        <v>183</v>
      </c>
      <c r="W156" s="116" t="s">
        <v>183</v>
      </c>
      <c r="X156" s="116" t="s">
        <v>183</v>
      </c>
      <c r="Y156" s="116" t="s">
        <v>183</v>
      </c>
      <c r="Z156" s="116" t="s">
        <v>183</v>
      </c>
      <c r="AA156" s="116" t="s">
        <v>183</v>
      </c>
      <c r="AB156" s="116" t="s">
        <v>183</v>
      </c>
      <c r="AC156" s="116" t="s">
        <v>183</v>
      </c>
      <c r="AD156" s="116">
        <f>SUM(L156:L158)*1.2</f>
        <v>3625.7040000000002</v>
      </c>
      <c r="AE156" s="116">
        <f>AD156*AG156*AH156*AI156</f>
        <v>4195.5696100925279</v>
      </c>
      <c r="AF156" s="116">
        <f>AM156+AN156+AO156+AP156+AQ156+AR156</f>
        <v>4195.5696100925279</v>
      </c>
      <c r="AG156" s="178">
        <v>1.0740000000000001</v>
      </c>
      <c r="AH156" s="178">
        <v>1.0369999999999999</v>
      </c>
      <c r="AI156" s="178">
        <v>1.0389999999999999</v>
      </c>
      <c r="AJ156" s="178">
        <v>1.042</v>
      </c>
      <c r="AK156" s="178">
        <v>1.0429999999999999</v>
      </c>
      <c r="AL156" s="178">
        <v>1.0429999999999999</v>
      </c>
      <c r="AM156" s="178">
        <v>0</v>
      </c>
      <c r="AN156" s="116">
        <v>0</v>
      </c>
      <c r="AO156" s="116">
        <f>AD156*AG156*AH156*AI156</f>
        <v>4195.5696100925279</v>
      </c>
      <c r="AP156" s="178">
        <v>0</v>
      </c>
      <c r="AQ156" s="178">
        <v>0</v>
      </c>
      <c r="AR156" s="178">
        <v>0</v>
      </c>
      <c r="AS156" s="138" t="s">
        <v>183</v>
      </c>
      <c r="AT156" s="138" t="s">
        <v>183</v>
      </c>
      <c r="AU156" s="138" t="s">
        <v>183</v>
      </c>
      <c r="AV156" s="138" t="s">
        <v>183</v>
      </c>
      <c r="AW156" s="138" t="s">
        <v>183</v>
      </c>
      <c r="AX156" s="138" t="s">
        <v>183</v>
      </c>
      <c r="AY156" s="138" t="s">
        <v>183</v>
      </c>
      <c r="AZ156" s="164">
        <f>AS9-O9</f>
        <v>0</v>
      </c>
    </row>
    <row r="157" spans="1:53" ht="37.5" customHeight="1" x14ac:dyDescent="0.25">
      <c r="A157" s="138"/>
      <c r="B157" s="199"/>
      <c r="C157" s="140"/>
      <c r="D157" s="77" t="s">
        <v>254</v>
      </c>
      <c r="E157" s="77" t="s">
        <v>256</v>
      </c>
      <c r="F157" s="77">
        <v>1</v>
      </c>
      <c r="G157" s="29" t="s">
        <v>255</v>
      </c>
      <c r="H157" s="79">
        <v>1173</v>
      </c>
      <c r="I157" s="79">
        <f t="shared" si="49"/>
        <v>1173</v>
      </c>
      <c r="J157" s="79" t="s">
        <v>100</v>
      </c>
      <c r="K157" s="30">
        <v>1.04</v>
      </c>
      <c r="L157" s="79">
        <f>I157*K157</f>
        <v>1219.92</v>
      </c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78"/>
      <c r="AH157" s="178"/>
      <c r="AI157" s="178"/>
      <c r="AJ157" s="178"/>
      <c r="AK157" s="178"/>
      <c r="AL157" s="178"/>
      <c r="AM157" s="178"/>
      <c r="AN157" s="116"/>
      <c r="AO157" s="116"/>
      <c r="AP157" s="178"/>
      <c r="AQ157" s="178"/>
      <c r="AR157" s="178"/>
      <c r="AS157" s="138"/>
      <c r="AT157" s="138"/>
      <c r="AU157" s="138"/>
      <c r="AV157" s="138"/>
      <c r="AW157" s="138"/>
      <c r="AX157" s="138"/>
      <c r="AY157" s="138"/>
      <c r="AZ157" s="164"/>
    </row>
    <row r="158" spans="1:53" ht="75" customHeight="1" x14ac:dyDescent="0.25">
      <c r="A158" s="138"/>
      <c r="B158" s="199"/>
      <c r="C158" s="140"/>
      <c r="D158" s="77" t="s">
        <v>40</v>
      </c>
      <c r="E158" s="77" t="s">
        <v>41</v>
      </c>
      <c r="F158" s="77">
        <v>1</v>
      </c>
      <c r="G158" s="29" t="s">
        <v>257</v>
      </c>
      <c r="H158" s="79">
        <v>300</v>
      </c>
      <c r="I158" s="79">
        <f t="shared" si="49"/>
        <v>300</v>
      </c>
      <c r="J158" s="79" t="s">
        <v>36</v>
      </c>
      <c r="K158" s="79" t="s">
        <v>36</v>
      </c>
      <c r="L158" s="79">
        <f>I158</f>
        <v>300</v>
      </c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78"/>
      <c r="AH158" s="178"/>
      <c r="AI158" s="178"/>
      <c r="AJ158" s="178"/>
      <c r="AK158" s="178"/>
      <c r="AL158" s="178"/>
      <c r="AM158" s="178"/>
      <c r="AN158" s="116"/>
      <c r="AO158" s="116"/>
      <c r="AP158" s="178"/>
      <c r="AQ158" s="178"/>
      <c r="AR158" s="178"/>
      <c r="AS158" s="138"/>
      <c r="AT158" s="138"/>
      <c r="AU158" s="138"/>
      <c r="AV158" s="138"/>
      <c r="AW158" s="138"/>
      <c r="AX158" s="138"/>
      <c r="AY158" s="138"/>
      <c r="AZ158" s="164"/>
    </row>
    <row r="159" spans="1:53" ht="15.75" x14ac:dyDescent="0.25">
      <c r="A159" s="185" t="s">
        <v>8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7"/>
      <c r="M159" s="61">
        <f>SUM(M9:M158)</f>
        <v>1403307.3155499999</v>
      </c>
      <c r="N159" s="61">
        <f t="shared" ref="N159:BA159" si="50">SUM(N9:N158)</f>
        <v>280661.46311000001</v>
      </c>
      <c r="O159" s="61">
        <f t="shared" si="50"/>
        <v>1673485.75666</v>
      </c>
      <c r="P159" s="61">
        <f t="shared" si="50"/>
        <v>1835330.6302216393</v>
      </c>
      <c r="Q159" s="61">
        <f t="shared" si="50"/>
        <v>2005998.1961675845</v>
      </c>
      <c r="R159" s="61">
        <f t="shared" si="50"/>
        <v>31.529999999999976</v>
      </c>
      <c r="S159" s="61">
        <f t="shared" si="50"/>
        <v>32.199999999999982</v>
      </c>
      <c r="T159" s="61">
        <f t="shared" si="50"/>
        <v>31.23200000000001</v>
      </c>
      <c r="U159" s="61">
        <f t="shared" si="50"/>
        <v>31.230000000000008</v>
      </c>
      <c r="V159" s="61">
        <f t="shared" si="50"/>
        <v>31.230000000000008</v>
      </c>
      <c r="W159" s="61">
        <f t="shared" si="50"/>
        <v>31.260000000000023</v>
      </c>
      <c r="X159" s="61">
        <f t="shared" si="50"/>
        <v>5897.3711999999996</v>
      </c>
      <c r="Y159" s="61">
        <f t="shared" si="50"/>
        <v>471931.27876845346</v>
      </c>
      <c r="Z159" s="61">
        <f t="shared" si="50"/>
        <v>299849.75438254158</v>
      </c>
      <c r="AA159" s="61">
        <f t="shared" si="50"/>
        <v>194967.91383286903</v>
      </c>
      <c r="AB159" s="61">
        <f t="shared" si="50"/>
        <v>619484.65390127862</v>
      </c>
      <c r="AC159" s="61">
        <f t="shared" si="50"/>
        <v>417942.80514350079</v>
      </c>
      <c r="AD159" s="61">
        <f t="shared" si="50"/>
        <v>1759251.345804</v>
      </c>
      <c r="AE159" s="61">
        <f t="shared" si="50"/>
        <v>2055657.9902046369</v>
      </c>
      <c r="AF159" s="61">
        <f t="shared" si="50"/>
        <v>2176332.8308976777</v>
      </c>
      <c r="AG159" s="61">
        <f t="shared" si="50"/>
        <v>38.664000000000009</v>
      </c>
      <c r="AH159" s="61">
        <f t="shared" si="50"/>
        <v>37.982000000000006</v>
      </c>
      <c r="AI159" s="61">
        <f t="shared" si="50"/>
        <v>37.715999999999987</v>
      </c>
      <c r="AJ159" s="61">
        <f t="shared" si="50"/>
        <v>37.668000000000035</v>
      </c>
      <c r="AK159" s="61">
        <f t="shared" si="50"/>
        <v>37.652000000000001</v>
      </c>
      <c r="AL159" s="61">
        <f t="shared" si="50"/>
        <v>37.652000000000001</v>
      </c>
      <c r="AM159" s="61">
        <f t="shared" si="50"/>
        <v>13114.828800000001</v>
      </c>
      <c r="AN159" s="61">
        <f t="shared" si="50"/>
        <v>383236.36561222275</v>
      </c>
      <c r="AO159" s="61">
        <f t="shared" si="50"/>
        <v>479963.87193363591</v>
      </c>
      <c r="AP159" s="61">
        <f t="shared" si="50"/>
        <v>212915.04594645341</v>
      </c>
      <c r="AQ159" s="61">
        <f t="shared" si="50"/>
        <v>639306.17613599787</v>
      </c>
      <c r="AR159" s="61">
        <f t="shared" si="50"/>
        <v>447796.54246936797</v>
      </c>
      <c r="AS159" s="61">
        <f t="shared" si="50"/>
        <v>344340.43856400001</v>
      </c>
      <c r="AT159" s="61">
        <f t="shared" si="50"/>
        <v>399648.74955136684</v>
      </c>
      <c r="AU159" s="61">
        <f t="shared" si="50"/>
        <v>16.11</v>
      </c>
      <c r="AV159" s="61">
        <f t="shared" si="50"/>
        <v>15.779999999999994</v>
      </c>
      <c r="AW159" s="61">
        <f t="shared" si="50"/>
        <v>11320.819200000002</v>
      </c>
      <c r="AX159" s="61">
        <f t="shared" si="50"/>
        <v>388728.87603136688</v>
      </c>
      <c r="AY159" s="61">
        <f t="shared" si="50"/>
        <v>0</v>
      </c>
      <c r="AZ159" s="68">
        <f t="shared" si="50"/>
        <v>0</v>
      </c>
      <c r="BA159" s="61">
        <f t="shared" si="50"/>
        <v>536189.97807204816</v>
      </c>
    </row>
    <row r="161" spans="17:17" x14ac:dyDescent="0.25">
      <c r="Q161" s="64"/>
    </row>
  </sheetData>
  <mergeCells count="1077">
    <mergeCell ref="AR156:AR158"/>
    <mergeCell ref="AS156:AS158"/>
    <mergeCell ref="AT156:AT158"/>
    <mergeCell ref="AU156:AU158"/>
    <mergeCell ref="AV156:AV158"/>
    <mergeCell ref="AW156:AW158"/>
    <mergeCell ref="AX156:AX158"/>
    <mergeCell ref="AY156:AY158"/>
    <mergeCell ref="AZ156:AZ158"/>
    <mergeCell ref="AI156:AI158"/>
    <mergeCell ref="AJ156:AJ158"/>
    <mergeCell ref="AK156:AK158"/>
    <mergeCell ref="AL156:AL158"/>
    <mergeCell ref="AM156:AM158"/>
    <mergeCell ref="AN156:AN158"/>
    <mergeCell ref="AO156:AO158"/>
    <mergeCell ref="AP156:AP158"/>
    <mergeCell ref="AQ156:AQ158"/>
    <mergeCell ref="Z156:Z158"/>
    <mergeCell ref="AA156:AA158"/>
    <mergeCell ref="AB156:AB158"/>
    <mergeCell ref="AC156:AC158"/>
    <mergeCell ref="AD156:AD158"/>
    <mergeCell ref="AE156:AE158"/>
    <mergeCell ref="AF156:AF158"/>
    <mergeCell ref="AG156:AG158"/>
    <mergeCell ref="AH156:AH158"/>
    <mergeCell ref="Q156:Q158"/>
    <mergeCell ref="R156:R158"/>
    <mergeCell ref="S156:S158"/>
    <mergeCell ref="T156:T158"/>
    <mergeCell ref="U156:U158"/>
    <mergeCell ref="V156:V158"/>
    <mergeCell ref="W156:W158"/>
    <mergeCell ref="X156:X158"/>
    <mergeCell ref="Y156:Y158"/>
    <mergeCell ref="A156:A158"/>
    <mergeCell ref="B156:B158"/>
    <mergeCell ref="C156:C158"/>
    <mergeCell ref="M156:M158"/>
    <mergeCell ref="N156:N158"/>
    <mergeCell ref="O156:O158"/>
    <mergeCell ref="P156:P158"/>
    <mergeCell ref="AR150:AR155"/>
    <mergeCell ref="AS150:AS155"/>
    <mergeCell ref="AT150:AT155"/>
    <mergeCell ref="AU150:AU155"/>
    <mergeCell ref="AV150:AV155"/>
    <mergeCell ref="AW150:AW155"/>
    <mergeCell ref="AX150:AX155"/>
    <mergeCell ref="AY150:AY155"/>
    <mergeCell ref="AZ150:AZ155"/>
    <mergeCell ref="AI150:AI155"/>
    <mergeCell ref="AJ150:AJ155"/>
    <mergeCell ref="AK150:AK155"/>
    <mergeCell ref="AL150:AL155"/>
    <mergeCell ref="AM150:AM155"/>
    <mergeCell ref="AN150:AN155"/>
    <mergeCell ref="AO150:AO155"/>
    <mergeCell ref="AP150:AP155"/>
    <mergeCell ref="AQ150:AQ155"/>
    <mergeCell ref="Z150:Z155"/>
    <mergeCell ref="AA150:AA155"/>
    <mergeCell ref="AB150:AB155"/>
    <mergeCell ref="AC150:AC155"/>
    <mergeCell ref="AD150:AD155"/>
    <mergeCell ref="AE150:AE155"/>
    <mergeCell ref="AF150:AF155"/>
    <mergeCell ref="AG150:AG155"/>
    <mergeCell ref="AH150:AH155"/>
    <mergeCell ref="AS144:AS149"/>
    <mergeCell ref="AT144:AT149"/>
    <mergeCell ref="AU144:AU149"/>
    <mergeCell ref="AV144:AV149"/>
    <mergeCell ref="AW144:AW149"/>
    <mergeCell ref="AX144:AX149"/>
    <mergeCell ref="AY144:AY149"/>
    <mergeCell ref="AZ144:AZ149"/>
    <mergeCell ref="A150:A155"/>
    <mergeCell ref="B150:B155"/>
    <mergeCell ref="C150:C155"/>
    <mergeCell ref="M150:M155"/>
    <mergeCell ref="N150:N155"/>
    <mergeCell ref="O150:O155"/>
    <mergeCell ref="P150:P155"/>
    <mergeCell ref="Q150:Q155"/>
    <mergeCell ref="R150:R155"/>
    <mergeCell ref="S150:S155"/>
    <mergeCell ref="T150:T155"/>
    <mergeCell ref="U150:U155"/>
    <mergeCell ref="V150:V155"/>
    <mergeCell ref="W150:W155"/>
    <mergeCell ref="X150:X155"/>
    <mergeCell ref="Y150:Y155"/>
    <mergeCell ref="AJ144:AJ149"/>
    <mergeCell ref="AK144:AK149"/>
    <mergeCell ref="AL144:AL149"/>
    <mergeCell ref="AM144:AM149"/>
    <mergeCell ref="AN144:AN149"/>
    <mergeCell ref="AO144:AO149"/>
    <mergeCell ref="AP144:AP149"/>
    <mergeCell ref="AQ144:AQ149"/>
    <mergeCell ref="AR144:AR149"/>
    <mergeCell ref="AA144:AA149"/>
    <mergeCell ref="AB144:AB149"/>
    <mergeCell ref="AC144:AC149"/>
    <mergeCell ref="AD144:AD149"/>
    <mergeCell ref="AE144:AE149"/>
    <mergeCell ref="AF144:AF149"/>
    <mergeCell ref="AG144:AG149"/>
    <mergeCell ref="AH144:AH149"/>
    <mergeCell ref="AI144:AI149"/>
    <mergeCell ref="AT138:AT143"/>
    <mergeCell ref="AU138:AU143"/>
    <mergeCell ref="AV138:AV143"/>
    <mergeCell ref="AW138:AW143"/>
    <mergeCell ref="AX138:AX143"/>
    <mergeCell ref="AF138:AF143"/>
    <mergeCell ref="AG138:AG143"/>
    <mergeCell ref="AH138:AH143"/>
    <mergeCell ref="AI138:AI143"/>
    <mergeCell ref="AJ138:AJ143"/>
    <mergeCell ref="AY138:AY143"/>
    <mergeCell ref="AZ138:AZ143"/>
    <mergeCell ref="A144:A149"/>
    <mergeCell ref="B144:B149"/>
    <mergeCell ref="C144:C149"/>
    <mergeCell ref="M144:M149"/>
    <mergeCell ref="N144:N149"/>
    <mergeCell ref="O144:O149"/>
    <mergeCell ref="P144:P149"/>
    <mergeCell ref="Q144:Q149"/>
    <mergeCell ref="R144:R149"/>
    <mergeCell ref="S144:S149"/>
    <mergeCell ref="T144:T149"/>
    <mergeCell ref="U144:U149"/>
    <mergeCell ref="V144:V149"/>
    <mergeCell ref="W144:W149"/>
    <mergeCell ref="X144:X149"/>
    <mergeCell ref="Y144:Y149"/>
    <mergeCell ref="Z144:Z149"/>
    <mergeCell ref="AK138:AK143"/>
    <mergeCell ref="AL138:AL143"/>
    <mergeCell ref="AM138:AM143"/>
    <mergeCell ref="AN138:AN143"/>
    <mergeCell ref="AO138:AO143"/>
    <mergeCell ref="AP138:AP143"/>
    <mergeCell ref="AQ138:AQ143"/>
    <mergeCell ref="AR138:AR143"/>
    <mergeCell ref="AS138:AS143"/>
    <mergeCell ref="AB138:AB143"/>
    <mergeCell ref="AC138:AC143"/>
    <mergeCell ref="AD138:AD143"/>
    <mergeCell ref="AE138:AE143"/>
    <mergeCell ref="AW132:AW137"/>
    <mergeCell ref="AX132:AX137"/>
    <mergeCell ref="AZ132:AZ137"/>
    <mergeCell ref="AY126:AY131"/>
    <mergeCell ref="AY132:AY137"/>
    <mergeCell ref="A138:A143"/>
    <mergeCell ref="B138:B143"/>
    <mergeCell ref="C138:C143"/>
    <mergeCell ref="M138:M143"/>
    <mergeCell ref="N138:N143"/>
    <mergeCell ref="O138:O143"/>
    <mergeCell ref="P138:P143"/>
    <mergeCell ref="Q138:Q143"/>
    <mergeCell ref="R138:R143"/>
    <mergeCell ref="S138:S143"/>
    <mergeCell ref="T138:T143"/>
    <mergeCell ref="U138:U143"/>
    <mergeCell ref="V138:V143"/>
    <mergeCell ref="W138:W143"/>
    <mergeCell ref="X138:X143"/>
    <mergeCell ref="Y138:Y143"/>
    <mergeCell ref="Z138:Z143"/>
    <mergeCell ref="AA138:AA143"/>
    <mergeCell ref="AV126:AV131"/>
    <mergeCell ref="AW126:AW131"/>
    <mergeCell ref="AX126:AX131"/>
    <mergeCell ref="AZ126:AZ131"/>
    <mergeCell ref="AD132:AD137"/>
    <mergeCell ref="AE132:AE137"/>
    <mergeCell ref="AF132:AF137"/>
    <mergeCell ref="AG132:AG137"/>
    <mergeCell ref="AH132:AH137"/>
    <mergeCell ref="AI132:AI137"/>
    <mergeCell ref="AJ132:AJ137"/>
    <mergeCell ref="AK132:AK137"/>
    <mergeCell ref="AL132:AL137"/>
    <mergeCell ref="AM132:AM137"/>
    <mergeCell ref="AN132:AN137"/>
    <mergeCell ref="AO132:AO137"/>
    <mergeCell ref="AP132:AP137"/>
    <mergeCell ref="AQ132:AQ137"/>
    <mergeCell ref="AR132:AR137"/>
    <mergeCell ref="AS132:AS137"/>
    <mergeCell ref="AT132:AT137"/>
    <mergeCell ref="AU132:AU137"/>
    <mergeCell ref="AV132:AV137"/>
    <mergeCell ref="AM126:AM131"/>
    <mergeCell ref="AN126:AN131"/>
    <mergeCell ref="AO126:AO131"/>
    <mergeCell ref="AP126:AP131"/>
    <mergeCell ref="AQ126:AQ131"/>
    <mergeCell ref="AR126:AR131"/>
    <mergeCell ref="AS126:AS131"/>
    <mergeCell ref="AT126:AT131"/>
    <mergeCell ref="AU126:AU131"/>
    <mergeCell ref="AG126:AG131"/>
    <mergeCell ref="AF126:AF131"/>
    <mergeCell ref="AE126:AE131"/>
    <mergeCell ref="AD126:AD131"/>
    <mergeCell ref="AL126:AL131"/>
    <mergeCell ref="AK126:AK131"/>
    <mergeCell ref="AJ126:AJ131"/>
    <mergeCell ref="AI126:AI131"/>
    <mergeCell ref="AH126:AH131"/>
    <mergeCell ref="Z132:Z137"/>
    <mergeCell ref="AA132:AA137"/>
    <mergeCell ref="AB132:AB137"/>
    <mergeCell ref="AC132:AC137"/>
    <mergeCell ref="A126:A131"/>
    <mergeCell ref="B126:B131"/>
    <mergeCell ref="C126:C131"/>
    <mergeCell ref="M126:M131"/>
    <mergeCell ref="N126:N131"/>
    <mergeCell ref="O126:O131"/>
    <mergeCell ref="P126:P131"/>
    <mergeCell ref="Q126:Q131"/>
    <mergeCell ref="R126:R131"/>
    <mergeCell ref="S126:S131"/>
    <mergeCell ref="T126:T131"/>
    <mergeCell ref="U126:U131"/>
    <mergeCell ref="V126:V131"/>
    <mergeCell ref="W126:W131"/>
    <mergeCell ref="X126:X131"/>
    <mergeCell ref="Y126:Y131"/>
    <mergeCell ref="Z126:Z131"/>
    <mergeCell ref="AA126:AA131"/>
    <mergeCell ref="AB126:AB131"/>
    <mergeCell ref="AC126:AC131"/>
    <mergeCell ref="AZ86:AZ87"/>
    <mergeCell ref="A132:A137"/>
    <mergeCell ref="B132:B137"/>
    <mergeCell ref="C132:C137"/>
    <mergeCell ref="M132:M137"/>
    <mergeCell ref="N132:N137"/>
    <mergeCell ref="O132:O137"/>
    <mergeCell ref="P132:P137"/>
    <mergeCell ref="Q132:Q137"/>
    <mergeCell ref="R132:R137"/>
    <mergeCell ref="S132:S137"/>
    <mergeCell ref="T132:T137"/>
    <mergeCell ref="U132:U137"/>
    <mergeCell ref="V132:V137"/>
    <mergeCell ref="W132:W137"/>
    <mergeCell ref="X132:X137"/>
    <mergeCell ref="Y132:Y137"/>
    <mergeCell ref="V114:V115"/>
    <mergeCell ref="A114:A115"/>
    <mergeCell ref="N114:N115"/>
    <mergeCell ref="O114:O115"/>
    <mergeCell ref="P114:P115"/>
    <mergeCell ref="Q114:Q115"/>
    <mergeCell ref="R114:R115"/>
    <mergeCell ref="W98:W103"/>
    <mergeCell ref="W104:W109"/>
    <mergeCell ref="AF98:AF103"/>
    <mergeCell ref="AO95:AO97"/>
    <mergeCell ref="AP95:AP97"/>
    <mergeCell ref="AQ95:AQ97"/>
    <mergeCell ref="AK112:AK113"/>
    <mergeCell ref="AU77:AU85"/>
    <mergeCell ref="AV77:AV85"/>
    <mergeCell ref="AZ38:AZ41"/>
    <mergeCell ref="AM114:AM115"/>
    <mergeCell ref="AN114:AN115"/>
    <mergeCell ref="AO114:AO115"/>
    <mergeCell ref="AP114:AP115"/>
    <mergeCell ref="AQ114:AQ115"/>
    <mergeCell ref="AR114:AR115"/>
    <mergeCell ref="AN58:AN65"/>
    <mergeCell ref="AO58:AO65"/>
    <mergeCell ref="AP58:AP65"/>
    <mergeCell ref="AQ58:AQ65"/>
    <mergeCell ref="AR58:AR65"/>
    <mergeCell ref="AM42:AM43"/>
    <mergeCell ref="AN42:AN43"/>
    <mergeCell ref="AO42:AO43"/>
    <mergeCell ref="AP42:AP43"/>
    <mergeCell ref="AQ42:AQ43"/>
    <mergeCell ref="AR42:AR43"/>
    <mergeCell ref="AY68:AY72"/>
    <mergeCell ref="AZ68:AZ72"/>
    <mergeCell ref="AT73:AT76"/>
    <mergeCell ref="AU73:AU76"/>
    <mergeCell ref="AM112:AM113"/>
    <mergeCell ref="AN112:AN113"/>
    <mergeCell ref="AP112:AP113"/>
    <mergeCell ref="AQ112:AQ113"/>
    <mergeCell ref="AR112:AR113"/>
    <mergeCell ref="AR98:AR103"/>
    <mergeCell ref="AM95:AM97"/>
    <mergeCell ref="AN95:AN97"/>
    <mergeCell ref="W114:W115"/>
    <mergeCell ref="X114:X115"/>
    <mergeCell ref="Y114:Y115"/>
    <mergeCell ref="Z114:Z115"/>
    <mergeCell ref="AA114:AA115"/>
    <mergeCell ref="AB114:AB115"/>
    <mergeCell ref="AC114:AC115"/>
    <mergeCell ref="AD114:AD115"/>
    <mergeCell ref="AF114:AF115"/>
    <mergeCell ref="AG114:AG115"/>
    <mergeCell ref="AH114:AH115"/>
    <mergeCell ref="AI114:AI115"/>
    <mergeCell ref="AJ114:AJ115"/>
    <mergeCell ref="AK114:AK115"/>
    <mergeCell ref="AC112:AC113"/>
    <mergeCell ref="AD112:AD113"/>
    <mergeCell ref="AL114:AL115"/>
    <mergeCell ref="AJ112:AJ113"/>
    <mergeCell ref="AE114:AE115"/>
    <mergeCell ref="AN104:AN109"/>
    <mergeCell ref="AO104:AO109"/>
    <mergeCell ref="AG104:AG109"/>
    <mergeCell ref="AH104:AH109"/>
    <mergeCell ref="AI104:AI109"/>
    <mergeCell ref="AJ104:AJ109"/>
    <mergeCell ref="AK104:AK109"/>
    <mergeCell ref="AL104:AL109"/>
    <mergeCell ref="AM104:AM109"/>
    <mergeCell ref="AO112:AO113"/>
    <mergeCell ref="AI112:AI113"/>
    <mergeCell ref="A112:A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Y104:Y109"/>
    <mergeCell ref="Z104:Z109"/>
    <mergeCell ref="AA104:AA109"/>
    <mergeCell ref="AB104:AB109"/>
    <mergeCell ref="AC104:AC109"/>
    <mergeCell ref="S114:S115"/>
    <mergeCell ref="T114:T115"/>
    <mergeCell ref="U114:U115"/>
    <mergeCell ref="B114:B115"/>
    <mergeCell ref="C114:C115"/>
    <mergeCell ref="M114:M115"/>
    <mergeCell ref="AP104:AP109"/>
    <mergeCell ref="AQ104:AQ109"/>
    <mergeCell ref="AR104:AR109"/>
    <mergeCell ref="B112:B113"/>
    <mergeCell ref="C112:C113"/>
    <mergeCell ref="M112:M113"/>
    <mergeCell ref="V112:V113"/>
    <mergeCell ref="W112:W113"/>
    <mergeCell ref="X112:X113"/>
    <mergeCell ref="Y112:Y113"/>
    <mergeCell ref="Z112:Z113"/>
    <mergeCell ref="AA112:AA113"/>
    <mergeCell ref="AB112:AB113"/>
    <mergeCell ref="AD104:AD109"/>
    <mergeCell ref="AF104:AF109"/>
    <mergeCell ref="AF112:AF113"/>
    <mergeCell ref="AG112:AG113"/>
    <mergeCell ref="AH112:AH113"/>
    <mergeCell ref="T104:T109"/>
    <mergeCell ref="U104:U109"/>
    <mergeCell ref="V104:V109"/>
    <mergeCell ref="X104:X109"/>
    <mergeCell ref="AE104:AE109"/>
    <mergeCell ref="AE112:AE113"/>
    <mergeCell ref="AL112:AL113"/>
    <mergeCell ref="A98:A103"/>
    <mergeCell ref="A104:A109"/>
    <mergeCell ref="M104:M109"/>
    <mergeCell ref="N104:N109"/>
    <mergeCell ref="O104:O109"/>
    <mergeCell ref="P104:P109"/>
    <mergeCell ref="Q104:Q109"/>
    <mergeCell ref="R104:R109"/>
    <mergeCell ref="S104:S109"/>
    <mergeCell ref="B104:B109"/>
    <mergeCell ref="C104:C109"/>
    <mergeCell ref="M98:M103"/>
    <mergeCell ref="N98:N103"/>
    <mergeCell ref="O98:O103"/>
    <mergeCell ref="P98:P103"/>
    <mergeCell ref="Q98:Q103"/>
    <mergeCell ref="R98:R103"/>
    <mergeCell ref="S98:S103"/>
    <mergeCell ref="AR95:AR97"/>
    <mergeCell ref="B98:B103"/>
    <mergeCell ref="C98:C103"/>
    <mergeCell ref="T98:T103"/>
    <mergeCell ref="U98:U103"/>
    <mergeCell ref="V98:V103"/>
    <mergeCell ref="X98:X103"/>
    <mergeCell ref="Y98:Y103"/>
    <mergeCell ref="Z98:Z103"/>
    <mergeCell ref="AA98:AA103"/>
    <mergeCell ref="AB98:AB103"/>
    <mergeCell ref="AC98:AC103"/>
    <mergeCell ref="AD98:AD103"/>
    <mergeCell ref="AG98:AG103"/>
    <mergeCell ref="AH98:AH103"/>
    <mergeCell ref="AI98:AI103"/>
    <mergeCell ref="AJ98:AJ103"/>
    <mergeCell ref="AK98:AK103"/>
    <mergeCell ref="AL98:AL103"/>
    <mergeCell ref="AM98:AM103"/>
    <mergeCell ref="AN98:AN103"/>
    <mergeCell ref="AO98:AO103"/>
    <mergeCell ref="AP98:AP103"/>
    <mergeCell ref="AQ98:AQ103"/>
    <mergeCell ref="AI95:AI97"/>
    <mergeCell ref="AJ95:AJ97"/>
    <mergeCell ref="AK95:AK97"/>
    <mergeCell ref="AL95:AL97"/>
    <mergeCell ref="AE98:AE103"/>
    <mergeCell ref="AD95:AD97"/>
    <mergeCell ref="A95:A97"/>
    <mergeCell ref="N95:N97"/>
    <mergeCell ref="O95:O97"/>
    <mergeCell ref="P95:P97"/>
    <mergeCell ref="Q95:Q97"/>
    <mergeCell ref="R95:R97"/>
    <mergeCell ref="AA95:AA97"/>
    <mergeCell ref="AB95:AB97"/>
    <mergeCell ref="AC95:AC97"/>
    <mergeCell ref="V95:V97"/>
    <mergeCell ref="X95:X97"/>
    <mergeCell ref="Y95:Y97"/>
    <mergeCell ref="Z95:Z97"/>
    <mergeCell ref="B95:B97"/>
    <mergeCell ref="C95:C97"/>
    <mergeCell ref="M95:M97"/>
    <mergeCell ref="S95:S97"/>
    <mergeCell ref="T95:T97"/>
    <mergeCell ref="U95:U97"/>
    <mergeCell ref="W95:W97"/>
    <mergeCell ref="Y27:Y37"/>
    <mergeCell ref="R27:R37"/>
    <mergeCell ref="S27:S37"/>
    <mergeCell ref="R21:R26"/>
    <mergeCell ref="T15:T20"/>
    <mergeCell ref="T21:T26"/>
    <mergeCell ref="T27:T37"/>
    <mergeCell ref="W21:W26"/>
    <mergeCell ref="V27:V37"/>
    <mergeCell ref="W27:W37"/>
    <mergeCell ref="AQ88:AQ89"/>
    <mergeCell ref="AR88:AR89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AE77:AE85"/>
    <mergeCell ref="AD68:AD72"/>
    <mergeCell ref="AF68:AF72"/>
    <mergeCell ref="AM45:AM57"/>
    <mergeCell ref="AN45:AN57"/>
    <mergeCell ref="AO45:AO57"/>
    <mergeCell ref="AP45:AP57"/>
    <mergeCell ref="AQ45:AQ57"/>
    <mergeCell ref="AR45:AR57"/>
    <mergeCell ref="AD45:AD57"/>
    <mergeCell ref="AF45:AF57"/>
    <mergeCell ref="A88:A89"/>
    <mergeCell ref="Q88:Q89"/>
    <mergeCell ref="R88:R89"/>
    <mergeCell ref="S88:S89"/>
    <mergeCell ref="T88:T89"/>
    <mergeCell ref="U88:U89"/>
    <mergeCell ref="X88:X89"/>
    <mergeCell ref="Y88:Y89"/>
    <mergeCell ref="Z88:Z89"/>
    <mergeCell ref="AO86:AO87"/>
    <mergeCell ref="AP86:AP87"/>
    <mergeCell ref="B88:B89"/>
    <mergeCell ref="C88:C89"/>
    <mergeCell ref="M88:M89"/>
    <mergeCell ref="N88:N89"/>
    <mergeCell ref="O88:O89"/>
    <mergeCell ref="P88:P89"/>
    <mergeCell ref="AJ86:AJ87"/>
    <mergeCell ref="AK86:AK87"/>
    <mergeCell ref="AE88:AE89"/>
    <mergeCell ref="A86:A87"/>
    <mergeCell ref="B86:B87"/>
    <mergeCell ref="C86:C87"/>
    <mergeCell ref="V88:V89"/>
    <mergeCell ref="W88:W89"/>
    <mergeCell ref="AO88:AO89"/>
    <mergeCell ref="AP88:AP89"/>
    <mergeCell ref="M86:M87"/>
    <mergeCell ref="N86:N87"/>
    <mergeCell ref="O86:O87"/>
    <mergeCell ref="P86:P87"/>
    <mergeCell ref="Q86:Q87"/>
    <mergeCell ref="T77:T85"/>
    <mergeCell ref="AF58:AF65"/>
    <mergeCell ref="X45:X57"/>
    <mergeCell ref="Y45:Y57"/>
    <mergeCell ref="Z45:Z57"/>
    <mergeCell ref="AA45:AA57"/>
    <mergeCell ref="AB45:AB57"/>
    <mergeCell ref="AC45:AC57"/>
    <mergeCell ref="Y77:Y85"/>
    <mergeCell ref="Z77:Z85"/>
    <mergeCell ref="AC58:AC65"/>
    <mergeCell ref="AA77:AA85"/>
    <mergeCell ref="V45:V57"/>
    <mergeCell ref="W45:W57"/>
    <mergeCell ref="Z68:Z72"/>
    <mergeCell ref="V58:V65"/>
    <mergeCell ref="V68:V72"/>
    <mergeCell ref="W68:W72"/>
    <mergeCell ref="V73:V76"/>
    <mergeCell ref="W73:W76"/>
    <mergeCell ref="V77:V85"/>
    <mergeCell ref="W77:W85"/>
    <mergeCell ref="AE45:AE57"/>
    <mergeCell ref="AE58:AE65"/>
    <mergeCell ref="AB58:AB65"/>
    <mergeCell ref="AD58:AD65"/>
    <mergeCell ref="A45:A57"/>
    <mergeCell ref="AM73:AM76"/>
    <mergeCell ref="AN73:AN76"/>
    <mergeCell ref="AO73:AO76"/>
    <mergeCell ref="AP73:AP76"/>
    <mergeCell ref="AQ73:AQ76"/>
    <mergeCell ref="AR73:AR76"/>
    <mergeCell ref="AB77:AB85"/>
    <mergeCell ref="AC77:AC85"/>
    <mergeCell ref="AD77:AD85"/>
    <mergeCell ref="AF77:AF85"/>
    <mergeCell ref="AG77:AG85"/>
    <mergeCell ref="AH77:AH85"/>
    <mergeCell ref="AI77:AI85"/>
    <mergeCell ref="AJ77:AJ85"/>
    <mergeCell ref="AK77:AK85"/>
    <mergeCell ref="AL77:AL85"/>
    <mergeCell ref="AM77:AM85"/>
    <mergeCell ref="AN77:AN85"/>
    <mergeCell ref="AO77:AO85"/>
    <mergeCell ref="AP77:AP85"/>
    <mergeCell ref="AQ77:AQ85"/>
    <mergeCell ref="AR77:AR85"/>
    <mergeCell ref="AM68:AM72"/>
    <mergeCell ref="AN68:AN72"/>
    <mergeCell ref="AO68:AO72"/>
    <mergeCell ref="AP68:AP72"/>
    <mergeCell ref="AQ68:AQ72"/>
    <mergeCell ref="AR68:AR72"/>
    <mergeCell ref="AA68:AA72"/>
    <mergeCell ref="AB68:AB72"/>
    <mergeCell ref="AC68:AC72"/>
    <mergeCell ref="AM58:AM65"/>
    <mergeCell ref="AJ45:AJ57"/>
    <mergeCell ref="AK45:AK57"/>
    <mergeCell ref="AL45:AL57"/>
    <mergeCell ref="S42:S43"/>
    <mergeCell ref="X42:X43"/>
    <mergeCell ref="Y42:Y43"/>
    <mergeCell ref="Z42:Z43"/>
    <mergeCell ref="AA42:AA43"/>
    <mergeCell ref="AB42:AB43"/>
    <mergeCell ref="AC42:AC43"/>
    <mergeCell ref="T42:T43"/>
    <mergeCell ref="AH45:AH57"/>
    <mergeCell ref="AI45:AI57"/>
    <mergeCell ref="AF42:AF43"/>
    <mergeCell ref="AG42:AG43"/>
    <mergeCell ref="AH42:AH43"/>
    <mergeCell ref="AI42:AI43"/>
    <mergeCell ref="AJ42:AJ43"/>
    <mergeCell ref="AK42:AK43"/>
    <mergeCell ref="AL42:AL43"/>
    <mergeCell ref="T45:T57"/>
    <mergeCell ref="AG45:AG57"/>
    <mergeCell ref="V42:V43"/>
    <mergeCell ref="AG58:AG65"/>
    <mergeCell ref="AH58:AH65"/>
    <mergeCell ref="AI58:AI65"/>
    <mergeCell ref="AJ58:AJ65"/>
    <mergeCell ref="AK58:AK65"/>
    <mergeCell ref="AL58:AL65"/>
    <mergeCell ref="B38:B41"/>
    <mergeCell ref="M38:M41"/>
    <mergeCell ref="N38:N41"/>
    <mergeCell ref="O38:O41"/>
    <mergeCell ref="AE42:AE43"/>
    <mergeCell ref="R38:R41"/>
    <mergeCell ref="S38:S41"/>
    <mergeCell ref="T38:T41"/>
    <mergeCell ref="U38:U41"/>
    <mergeCell ref="V38:V41"/>
    <mergeCell ref="C45:C57"/>
    <mergeCell ref="Q45:Q57"/>
    <mergeCell ref="M45:M57"/>
    <mergeCell ref="N45:N57"/>
    <mergeCell ref="O45:O57"/>
    <mergeCell ref="P45:P57"/>
    <mergeCell ref="R45:R57"/>
    <mergeCell ref="S45:S57"/>
    <mergeCell ref="W9:W14"/>
    <mergeCell ref="V15:V20"/>
    <mergeCell ref="AS9:AS14"/>
    <mergeCell ref="R15:R20"/>
    <mergeCell ref="S15:S20"/>
    <mergeCell ref="U9:U14"/>
    <mergeCell ref="U15:U20"/>
    <mergeCell ref="AW15:AW20"/>
    <mergeCell ref="AX15:AX20"/>
    <mergeCell ref="AY15:AY20"/>
    <mergeCell ref="AQ38:AQ41"/>
    <mergeCell ref="AR38:AR41"/>
    <mergeCell ref="A42:A43"/>
    <mergeCell ref="B42:B43"/>
    <mergeCell ref="C42:C43"/>
    <mergeCell ref="M42:M43"/>
    <mergeCell ref="N42:N43"/>
    <mergeCell ref="O42:O43"/>
    <mergeCell ref="P42:P43"/>
    <mergeCell ref="Q42:Q43"/>
    <mergeCell ref="R42:R43"/>
    <mergeCell ref="AD42:AD43"/>
    <mergeCell ref="AJ38:AJ41"/>
    <mergeCell ref="AK38:AK41"/>
    <mergeCell ref="AL38:AL41"/>
    <mergeCell ref="AM38:AM41"/>
    <mergeCell ref="AN38:AN41"/>
    <mergeCell ref="AO38:AO41"/>
    <mergeCell ref="AP38:AP41"/>
    <mergeCell ref="U42:U43"/>
    <mergeCell ref="C38:C41"/>
    <mergeCell ref="A38:A41"/>
    <mergeCell ref="AF15:AF20"/>
    <mergeCell ref="AG15:AG20"/>
    <mergeCell ref="AH15:AH20"/>
    <mergeCell ref="AI15:AI20"/>
    <mergeCell ref="AJ15:AJ20"/>
    <mergeCell ref="AK15:AK20"/>
    <mergeCell ref="AP21:AP26"/>
    <mergeCell ref="S21:S26"/>
    <mergeCell ref="AB21:AB26"/>
    <mergeCell ref="AC21:AC26"/>
    <mergeCell ref="AQ21:AQ26"/>
    <mergeCell ref="AR21:AR26"/>
    <mergeCell ref="U21:U26"/>
    <mergeCell ref="AE15:AE20"/>
    <mergeCell ref="AE21:AE26"/>
    <mergeCell ref="J5:K6"/>
    <mergeCell ref="AW6:AY6"/>
    <mergeCell ref="X6:AC6"/>
    <mergeCell ref="M6:M7"/>
    <mergeCell ref="AL15:AL20"/>
    <mergeCell ref="AM15:AM20"/>
    <mergeCell ref="AN15:AN20"/>
    <mergeCell ref="AO15:AO20"/>
    <mergeCell ref="AT9:AT14"/>
    <mergeCell ref="AO9:AO14"/>
    <mergeCell ref="AP9:AP14"/>
    <mergeCell ref="AG9:AG14"/>
    <mergeCell ref="AH9:AH14"/>
    <mergeCell ref="AB9:AB14"/>
    <mergeCell ref="AC9:AC14"/>
    <mergeCell ref="AP15:AP20"/>
    <mergeCell ref="V9:V14"/>
    <mergeCell ref="A159:L159"/>
    <mergeCell ref="C9:C14"/>
    <mergeCell ref="M9:M14"/>
    <mergeCell ref="O9:O14"/>
    <mergeCell ref="P9:P14"/>
    <mergeCell ref="Q9:Q14"/>
    <mergeCell ref="A9:A14"/>
    <mergeCell ref="B9:B14"/>
    <mergeCell ref="N9:N14"/>
    <mergeCell ref="A21:A26"/>
    <mergeCell ref="B21:B26"/>
    <mergeCell ref="C21:C26"/>
    <mergeCell ref="M21:M26"/>
    <mergeCell ref="P21:P26"/>
    <mergeCell ref="O21:O26"/>
    <mergeCell ref="O27:O37"/>
    <mergeCell ref="O15:O20"/>
    <mergeCell ref="Q21:Q26"/>
    <mergeCell ref="C15:C20"/>
    <mergeCell ref="A15:A20"/>
    <mergeCell ref="B15:B20"/>
    <mergeCell ref="P27:P37"/>
    <mergeCell ref="Q27:Q37"/>
    <mergeCell ref="A77:A85"/>
    <mergeCell ref="B77:B85"/>
    <mergeCell ref="C77:C85"/>
    <mergeCell ref="M77:M85"/>
    <mergeCell ref="N77:N85"/>
    <mergeCell ref="O77:O85"/>
    <mergeCell ref="P77:P85"/>
    <mergeCell ref="Q77:Q85"/>
    <mergeCell ref="O68:O72"/>
    <mergeCell ref="AL21:AL26"/>
    <mergeCell ref="AD21:AD26"/>
    <mergeCell ref="AF21:AF26"/>
    <mergeCell ref="AM21:AM26"/>
    <mergeCell ref="AN21:AN26"/>
    <mergeCell ref="AO21:AO26"/>
    <mergeCell ref="X27:X37"/>
    <mergeCell ref="AZ9:AZ14"/>
    <mergeCell ref="AV9:AV14"/>
    <mergeCell ref="AT15:AT20"/>
    <mergeCell ref="AZ15:AZ20"/>
    <mergeCell ref="AU9:AU14"/>
    <mergeCell ref="AU15:AU20"/>
    <mergeCell ref="AU21:AU26"/>
    <mergeCell ref="AT21:AT26"/>
    <mergeCell ref="AV15:AV20"/>
    <mergeCell ref="Y9:Y14"/>
    <mergeCell ref="Z9:Z14"/>
    <mergeCell ref="X9:X14"/>
    <mergeCell ref="X15:X20"/>
    <mergeCell ref="Y15:Y20"/>
    <mergeCell ref="Z15:Z20"/>
    <mergeCell ref="X21:X26"/>
    <mergeCell ref="AW9:AW14"/>
    <mergeCell ref="AX9:AX14"/>
    <mergeCell ref="AY9:AY14"/>
    <mergeCell ref="AW21:AW26"/>
    <mergeCell ref="AX21:AX26"/>
    <mergeCell ref="AY21:AY26"/>
    <mergeCell ref="AB15:AB20"/>
    <mergeCell ref="AC15:AC20"/>
    <mergeCell ref="AD15:AD20"/>
    <mergeCell ref="A68:A72"/>
    <mergeCell ref="B68:B72"/>
    <mergeCell ref="C68:C72"/>
    <mergeCell ref="P15:P20"/>
    <mergeCell ref="Q15:Q20"/>
    <mergeCell ref="AS27:AS37"/>
    <mergeCell ref="N27:N37"/>
    <mergeCell ref="N15:N20"/>
    <mergeCell ref="Z21:Z26"/>
    <mergeCell ref="AI27:AI37"/>
    <mergeCell ref="AJ27:AJ37"/>
    <mergeCell ref="AK27:AK37"/>
    <mergeCell ref="AL27:AL37"/>
    <mergeCell ref="AN27:AN37"/>
    <mergeCell ref="AB27:AB37"/>
    <mergeCell ref="A27:A37"/>
    <mergeCell ref="B27:B37"/>
    <mergeCell ref="C27:C37"/>
    <mergeCell ref="N21:N26"/>
    <mergeCell ref="M27:M37"/>
    <mergeCell ref="M15:M20"/>
    <mergeCell ref="AS15:AS20"/>
    <mergeCell ref="AS21:AS26"/>
    <mergeCell ref="B58:B65"/>
    <mergeCell ref="A58:A65"/>
    <mergeCell ref="S58:S65"/>
    <mergeCell ref="AH27:AH37"/>
    <mergeCell ref="AM27:AM37"/>
    <mergeCell ref="AO27:AO37"/>
    <mergeCell ref="AP27:AP37"/>
    <mergeCell ref="AQ27:AQ37"/>
    <mergeCell ref="AR27:AR37"/>
    <mergeCell ref="P68:P72"/>
    <mergeCell ref="Q68:Q72"/>
    <mergeCell ref="R68:R72"/>
    <mergeCell ref="S68:S72"/>
    <mergeCell ref="X68:X72"/>
    <mergeCell ref="Y68:Y72"/>
    <mergeCell ref="T68:T72"/>
    <mergeCell ref="AA58:AA65"/>
    <mergeCell ref="Z27:Z37"/>
    <mergeCell ref="AD38:AD41"/>
    <mergeCell ref="AE38:AE41"/>
    <mergeCell ref="AF38:AF41"/>
    <mergeCell ref="AG38:AG41"/>
    <mergeCell ref="AH38:AH41"/>
    <mergeCell ref="AI38:AI41"/>
    <mergeCell ref="W38:W41"/>
    <mergeCell ref="AG68:AG72"/>
    <mergeCell ref="X38:X41"/>
    <mergeCell ref="Y38:Y41"/>
    <mergeCell ref="Z38:Z41"/>
    <mergeCell ref="AA38:AA41"/>
    <mergeCell ref="AB38:AB41"/>
    <mergeCell ref="AC38:AC41"/>
    <mergeCell ref="P38:P41"/>
    <mergeCell ref="Q38:Q41"/>
    <mergeCell ref="AD27:AD37"/>
    <mergeCell ref="AG27:AG37"/>
    <mergeCell ref="W42:W43"/>
    <mergeCell ref="U27:U37"/>
    <mergeCell ref="U45:U57"/>
    <mergeCell ref="U58:U65"/>
    <mergeCell ref="AE27:AE37"/>
    <mergeCell ref="AY27:AY37"/>
    <mergeCell ref="AZ21:AZ26"/>
    <mergeCell ref="AV21:AV26"/>
    <mergeCell ref="AZ27:AZ37"/>
    <mergeCell ref="AX27:AX37"/>
    <mergeCell ref="AS68:AS72"/>
    <mergeCell ref="AT68:AT72"/>
    <mergeCell ref="AU68:AU72"/>
    <mergeCell ref="AV68:AV72"/>
    <mergeCell ref="AW68:AW72"/>
    <mergeCell ref="AX68:AX72"/>
    <mergeCell ref="AS38:AS41"/>
    <mergeCell ref="AT38:AT41"/>
    <mergeCell ref="AU38:AU41"/>
    <mergeCell ref="AV38:AV41"/>
    <mergeCell ref="AW38:AW41"/>
    <mergeCell ref="AX38:AX41"/>
    <mergeCell ref="AY38:AY41"/>
    <mergeCell ref="AT27:AT37"/>
    <mergeCell ref="AV27:AV37"/>
    <mergeCell ref="AU27:AU37"/>
    <mergeCell ref="AW27:AW37"/>
    <mergeCell ref="AU58:AU65"/>
    <mergeCell ref="AV58:AV65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AV73:AV76"/>
    <mergeCell ref="AW73:AW76"/>
    <mergeCell ref="A73:A76"/>
    <mergeCell ref="B73:B76"/>
    <mergeCell ref="C73:C76"/>
    <mergeCell ref="M73:M76"/>
    <mergeCell ref="N73:N76"/>
    <mergeCell ref="O73:O76"/>
    <mergeCell ref="P73:P76"/>
    <mergeCell ref="Q73:Q76"/>
    <mergeCell ref="R73:R76"/>
    <mergeCell ref="AA73:AA76"/>
    <mergeCell ref="AB73:AB76"/>
    <mergeCell ref="AC73:AC76"/>
    <mergeCell ref="AD73:AD76"/>
    <mergeCell ref="AF73:AF76"/>
    <mergeCell ref="AG73:AG76"/>
    <mergeCell ref="AH73:AH76"/>
    <mergeCell ref="AI73:AI76"/>
    <mergeCell ref="AJ73:AJ76"/>
    <mergeCell ref="AK73:AK76"/>
    <mergeCell ref="AL73:AL76"/>
    <mergeCell ref="U73:U76"/>
    <mergeCell ref="T73:T76"/>
    <mergeCell ref="AE9:AE14"/>
    <mergeCell ref="AS77:AS85"/>
    <mergeCell ref="AT77:AT85"/>
    <mergeCell ref="AW77:AW85"/>
    <mergeCell ref="AX77:AX85"/>
    <mergeCell ref="AY77:AY85"/>
    <mergeCell ref="AZ77:AZ85"/>
    <mergeCell ref="C58:C65"/>
    <mergeCell ref="Z58:Z65"/>
    <mergeCell ref="AS58:AS65"/>
    <mergeCell ref="AT58:AT65"/>
    <mergeCell ref="AW58:AW65"/>
    <mergeCell ref="AX58:AX65"/>
    <mergeCell ref="AY58:AY65"/>
    <mergeCell ref="AZ58:AZ65"/>
    <mergeCell ref="S77:S85"/>
    <mergeCell ref="R77:R85"/>
    <mergeCell ref="AX73:AX76"/>
    <mergeCell ref="AY73:AY76"/>
    <mergeCell ref="AZ73:AZ76"/>
    <mergeCell ref="S73:S76"/>
    <mergeCell ref="X73:X76"/>
    <mergeCell ref="Y73:Y76"/>
    <mergeCell ref="Z73:Z76"/>
    <mergeCell ref="AS73:AS76"/>
    <mergeCell ref="M58:M65"/>
    <mergeCell ref="N58:N65"/>
    <mergeCell ref="O58:O65"/>
    <mergeCell ref="P58:P65"/>
    <mergeCell ref="Q58:Q65"/>
    <mergeCell ref="X58:X65"/>
    <mergeCell ref="Y58:Y65"/>
    <mergeCell ref="R86:R87"/>
    <mergeCell ref="S86:S87"/>
    <mergeCell ref="B45:B57"/>
    <mergeCell ref="AA9:AA14"/>
    <mergeCell ref="AA15:AA20"/>
    <mergeCell ref="AA21:AA26"/>
    <mergeCell ref="AA27:AA37"/>
    <mergeCell ref="AQ15:AQ20"/>
    <mergeCell ref="AR15:AR20"/>
    <mergeCell ref="AI21:AI26"/>
    <mergeCell ref="AE68:AE72"/>
    <mergeCell ref="AE73:AE76"/>
    <mergeCell ref="AQ9:AQ14"/>
    <mergeCell ref="AR9:AR14"/>
    <mergeCell ref="AI9:AI14"/>
    <mergeCell ref="AJ9:AJ14"/>
    <mergeCell ref="AK9:AK14"/>
    <mergeCell ref="AL9:AL14"/>
    <mergeCell ref="AD9:AD14"/>
    <mergeCell ref="AF9:AF14"/>
    <mergeCell ref="AM9:AM14"/>
    <mergeCell ref="AN9:AN14"/>
    <mergeCell ref="AG21:AG26"/>
    <mergeCell ref="AH21:AH26"/>
    <mergeCell ref="AC27:AC37"/>
    <mergeCell ref="AH68:AH72"/>
    <mergeCell ref="AI68:AI72"/>
    <mergeCell ref="M68:M72"/>
    <mergeCell ref="N68:N72"/>
    <mergeCell ref="R9:R14"/>
    <mergeCell ref="S9:S14"/>
    <mergeCell ref="T9:T14"/>
    <mergeCell ref="V21:V26"/>
    <mergeCell ref="U68:U72"/>
    <mergeCell ref="U77:U85"/>
    <mergeCell ref="AA88:AA89"/>
    <mergeCell ref="AB88:AB89"/>
    <mergeCell ref="AC88:AC89"/>
    <mergeCell ref="AD88:AD89"/>
    <mergeCell ref="AF95:AF97"/>
    <mergeCell ref="AG95:AG97"/>
    <mergeCell ref="AH95:AH97"/>
    <mergeCell ref="AQ86:AQ87"/>
    <mergeCell ref="AR86:AR87"/>
    <mergeCell ref="AF86:AF87"/>
    <mergeCell ref="Z86:Z87"/>
    <mergeCell ref="AA86:AA87"/>
    <mergeCell ref="AB86:AB87"/>
    <mergeCell ref="AC86:AC87"/>
    <mergeCell ref="AL86:AL87"/>
    <mergeCell ref="AM86:AM87"/>
    <mergeCell ref="AN86:AN87"/>
    <mergeCell ref="AD86:AD87"/>
    <mergeCell ref="AE86:AE87"/>
    <mergeCell ref="AG86:AG87"/>
    <mergeCell ref="AH86:AH87"/>
    <mergeCell ref="AI86:AI87"/>
    <mergeCell ref="W58:W65"/>
    <mergeCell ref="AJ68:AJ72"/>
    <mergeCell ref="AK68:AK72"/>
    <mergeCell ref="AL68:AL72"/>
    <mergeCell ref="AF27:AF37"/>
    <mergeCell ref="AJ21:AJ26"/>
    <mergeCell ref="AK21:AK26"/>
    <mergeCell ref="Y86:Y87"/>
    <mergeCell ref="AE95:AE97"/>
    <mergeCell ref="A3:AZ3"/>
    <mergeCell ref="A2:AZ2"/>
    <mergeCell ref="A1:AZ1"/>
    <mergeCell ref="P6:P7"/>
    <mergeCell ref="Q6:Q7"/>
    <mergeCell ref="AD6:AD7"/>
    <mergeCell ref="AE6:AE7"/>
    <mergeCell ref="AF6:AF7"/>
    <mergeCell ref="AZ5:AZ7"/>
    <mergeCell ref="AU6:AV6"/>
    <mergeCell ref="AS5:AY5"/>
    <mergeCell ref="AS6:AS7"/>
    <mergeCell ref="AT6:AT7"/>
    <mergeCell ref="D5:D7"/>
    <mergeCell ref="E5:E7"/>
    <mergeCell ref="F5:F7"/>
    <mergeCell ref="G5:G7"/>
    <mergeCell ref="H5:H7"/>
    <mergeCell ref="I5:I7"/>
    <mergeCell ref="L5:L7"/>
    <mergeCell ref="N6:N7"/>
    <mergeCell ref="O6:O7"/>
    <mergeCell ref="X4:Z4"/>
    <mergeCell ref="AW4:AY4"/>
    <mergeCell ref="A5:A7"/>
    <mergeCell ref="R58:R65"/>
    <mergeCell ref="T58:T65"/>
    <mergeCell ref="X77:X85"/>
    <mergeCell ref="Y21:Y26"/>
    <mergeCell ref="W15:W20"/>
    <mergeCell ref="B5:B7"/>
    <mergeCell ref="C5:C7"/>
    <mergeCell ref="R6:W6"/>
    <mergeCell ref="AD5:AR5"/>
    <mergeCell ref="AG6:AL6"/>
    <mergeCell ref="AM6:AR6"/>
    <mergeCell ref="M5:AC5"/>
    <mergeCell ref="AO116:AO120"/>
    <mergeCell ref="AP116:AP120"/>
    <mergeCell ref="AQ116:AQ120"/>
    <mergeCell ref="A116:A120"/>
    <mergeCell ref="B116:B120"/>
    <mergeCell ref="C116:C120"/>
    <mergeCell ref="M116:M120"/>
    <mergeCell ref="N116:N120"/>
    <mergeCell ref="O116:O120"/>
    <mergeCell ref="P116:P120"/>
    <mergeCell ref="Q116:Q120"/>
    <mergeCell ref="R116:R120"/>
    <mergeCell ref="S116:S120"/>
    <mergeCell ref="T116:T120"/>
    <mergeCell ref="U116:U120"/>
    <mergeCell ref="V116:V120"/>
    <mergeCell ref="W116:W120"/>
    <mergeCell ref="X116:X120"/>
    <mergeCell ref="Y116:Y120"/>
    <mergeCell ref="Z116:Z120"/>
    <mergeCell ref="T86:T87"/>
    <mergeCell ref="U86:U87"/>
    <mergeCell ref="V86:V87"/>
    <mergeCell ref="W86:W87"/>
    <mergeCell ref="X86:X87"/>
    <mergeCell ref="AJ121:AJ125"/>
    <mergeCell ref="AK121:AK125"/>
    <mergeCell ref="AL121:AL125"/>
    <mergeCell ref="AM121:AM125"/>
    <mergeCell ref="AN121:AN125"/>
    <mergeCell ref="AA116:AA120"/>
    <mergeCell ref="AB116:AB120"/>
    <mergeCell ref="AC116:AC120"/>
    <mergeCell ref="AD116:AD120"/>
    <mergeCell ref="AE116:AE120"/>
    <mergeCell ref="AF116:AF120"/>
    <mergeCell ref="AG116:AG120"/>
    <mergeCell ref="AH116:AH120"/>
    <mergeCell ref="AI116:AI120"/>
    <mergeCell ref="AJ116:AJ120"/>
    <mergeCell ref="AK116:AK120"/>
    <mergeCell ref="AL116:AL120"/>
    <mergeCell ref="AM116:AM120"/>
    <mergeCell ref="AN116:AN120"/>
    <mergeCell ref="AO121:AO125"/>
    <mergeCell ref="AP121:AP125"/>
    <mergeCell ref="AQ121:AQ125"/>
    <mergeCell ref="AR121:AR125"/>
    <mergeCell ref="AZ121:AZ125"/>
    <mergeCell ref="AR116:AR120"/>
    <mergeCell ref="A121:A125"/>
    <mergeCell ref="B121:B125"/>
    <mergeCell ref="C121:C125"/>
    <mergeCell ref="M121:M125"/>
    <mergeCell ref="N121:N125"/>
    <mergeCell ref="O121:O125"/>
    <mergeCell ref="P121:P125"/>
    <mergeCell ref="Q121:Q125"/>
    <mergeCell ref="R121:R125"/>
    <mergeCell ref="S121:S125"/>
    <mergeCell ref="T121:T125"/>
    <mergeCell ref="U121:U125"/>
    <mergeCell ref="V121:V125"/>
    <mergeCell ref="W121:W125"/>
    <mergeCell ref="X121:X125"/>
    <mergeCell ref="AA121:AA125"/>
    <mergeCell ref="AB121:AB125"/>
    <mergeCell ref="AC121:AC125"/>
    <mergeCell ref="AD121:AD125"/>
    <mergeCell ref="Y121:Y125"/>
    <mergeCell ref="Z121:Z125"/>
    <mergeCell ref="AE121:AE125"/>
    <mergeCell ref="AF121:AF125"/>
    <mergeCell ref="AG121:AG125"/>
    <mergeCell ref="AH121:AH125"/>
    <mergeCell ref="AI121:AI125"/>
  </mergeCells>
  <pageMargins left="0.51181102362204722" right="0.51181102362204722" top="0.74803149606299213" bottom="0.35433070866141736" header="0" footer="0"/>
  <pageSetup paperSize="9" scale="20" fitToHeight="0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ВЛ </vt:lpstr>
      <vt:lpstr>КЛ</vt:lpstr>
      <vt:lpstr>ПС</vt:lpstr>
      <vt:lpstr>'ВЛ '!Область_печати</vt:lpstr>
      <vt:lpstr>ПС!Область_печати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2021-02-25T01:28:52Z</dcterms:modified>
</cp:coreProperties>
</file>